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_rels/.rels" ContentType="application/vnd.openxmlformats-package.relationships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 showHorizontalScroll="true" showVerticalScroll="true" showSheetTabs="true"/>
  </bookViews>
  <sheets>
    <sheet name="Stavební rozpočet" sheetId="1" r:id="rId1"/>
    <sheet name="Rozpočet - Jen objekty celkem" sheetId="2" r:id="rId2"/>
    <sheet name="Krycí list rozpočtu" sheetId="3" r:id="rId3"/>
    <sheet name="VORN" sheetId="4" state="hidden" r:id="rId4"/>
  </sheets>
  <definedNames>
    <definedName name="vorn_sum">VORN!$I$36</definedName>
  </definedNames>
  <calcPr refMode="A1"/>
</workbook>
</file>

<file path=xl/sharedStrings.xml><?xml version="1.0" encoding="utf-8"?>
<sst xmlns="http://schemas.openxmlformats.org/spreadsheetml/2006/main" count="689" uniqueCount="689">
  <si>
    <t>Soupis prací</t>
  </si>
  <si>
    <t>Název stavby:</t>
  </si>
  <si>
    <t>Masarykovo náměstí 9 - Oprava uliční fasády</t>
  </si>
  <si>
    <t>Doba výstavby:</t>
  </si>
  <si>
    <t xml:space="preserve"> </t>
  </si>
  <si>
    <t>Objednatel:</t>
  </si>
  <si>
    <t>Statutární město Jihlava</t>
  </si>
  <si>
    <t>Druh stavby:</t>
  </si>
  <si>
    <t>Začátek výstavby:</t>
  </si>
  <si>
    <t>Projektant:</t>
  </si>
  <si>
    <t>CARLITA s.r.o.</t>
  </si>
  <si>
    <t>Lokalita:</t>
  </si>
  <si>
    <t>Jihlava</t>
  </si>
  <si>
    <t>Konec výstavby:</t>
  </si>
  <si>
    <t>Zhotovitel:</t>
  </si>
  <si>
    <t>dle výběrového řízení</t>
  </si>
  <si>
    <t>JKSO:</t>
  </si>
  <si>
    <t>Zpracováno dne:</t>
  </si>
  <si>
    <t>05.08.2025</t>
  </si>
  <si>
    <t>Zpracoval:</t>
  </si>
  <si>
    <t>Ing. Petr Kristýnek</t>
  </si>
  <si>
    <t>Č</t>
  </si>
  <si>
    <t>Objekt</t>
  </si>
  <si>
    <t>Kód</t>
  </si>
  <si>
    <t>Zkrácený popis / Varianta</t>
  </si>
  <si>
    <t>MJ</t>
  </si>
  <si>
    <t>Množství</t>
  </si>
  <si>
    <t>Cena/MJ</t>
  </si>
  <si>
    <t>Náklady (Kč)</t>
  </si>
  <si>
    <t>Hmotnost (t)</t>
  </si>
  <si>
    <t>Cenová</t>
  </si>
  <si>
    <t>ISWORK</t>
  </si>
  <si>
    <t>GROUPCODE</t>
  </si>
  <si>
    <t>VATTAX</t>
  </si>
  <si>
    <t>Rozměry</t>
  </si>
  <si>
    <t>(Kč)</t>
  </si>
  <si>
    <t>Dodávka</t>
  </si>
  <si>
    <t>Montáž</t>
  </si>
  <si>
    <t>Celkem</t>
  </si>
  <si>
    <t>Jednot.</t>
  </si>
  <si>
    <t>Celkem/MJ</t>
  </si>
  <si>
    <t>soustava</t>
  </si>
  <si>
    <t>Přesuny</t>
  </si>
  <si>
    <t>Typ skupiny</t>
  </si>
  <si>
    <t>HSV mat</t>
  </si>
  <si>
    <t>HSV prac</t>
  </si>
  <si>
    <t>PSV mat</t>
  </si>
  <si>
    <t>PSV prac</t>
  </si>
  <si>
    <t>Mont mat</t>
  </si>
  <si>
    <t>Mont prac</t>
  </si>
  <si>
    <t>Ostatní mat.</t>
  </si>
  <si>
    <t>MAT</t>
  </si>
  <si>
    <t>WORK</t>
  </si>
  <si>
    <t>CELK</t>
  </si>
  <si>
    <t/>
  </si>
  <si>
    <t>01</t>
  </si>
  <si>
    <t>Oprava uliční fasády</t>
  </si>
  <si>
    <t>11</t>
  </si>
  <si>
    <t>Přípravné a přidružené práce</t>
  </si>
  <si>
    <t>1</t>
  </si>
  <si>
    <t>113106122R00</t>
  </si>
  <si>
    <t>Rozebrání dlažeb z kamenných desek</t>
  </si>
  <si>
    <t>m2</t>
  </si>
  <si>
    <t>RTS I / 2025</t>
  </si>
  <si>
    <t>11_</t>
  </si>
  <si>
    <t>01_1_</t>
  </si>
  <si>
    <t>01_</t>
  </si>
  <si>
    <t>P</t>
  </si>
  <si>
    <t>Varianta:</t>
  </si>
  <si>
    <t xml:space="preserve">dlažba chodníku
</t>
  </si>
  <si>
    <t>9,0*2,0</t>
  </si>
  <si>
    <t>Poznámka:</t>
  </si>
  <si>
    <t>uložení dlažby na místě stavby</t>
  </si>
  <si>
    <t>13</t>
  </si>
  <si>
    <t>Hloubené vykopávky</t>
  </si>
  <si>
    <t>2</t>
  </si>
  <si>
    <t>133301101R00</t>
  </si>
  <si>
    <t>Hloubení šachet v hor.4 do 100 m3</t>
  </si>
  <si>
    <t>m3</t>
  </si>
  <si>
    <t>13_</t>
  </si>
  <si>
    <t>kopaná sonda pro odhalení kanal. potrubí u svodů</t>
  </si>
  <si>
    <t>1,0*1,2*1,5</t>
  </si>
  <si>
    <t>3</t>
  </si>
  <si>
    <t>133301109R00</t>
  </si>
  <si>
    <t>Příplatek za lepivost - hloubení šachet v hor.4</t>
  </si>
  <si>
    <t>4</t>
  </si>
  <si>
    <t>139601103R00</t>
  </si>
  <si>
    <t>Ruční výkop jam, rýh a šachet v hornině tř. 4 - příplatek</t>
  </si>
  <si>
    <t>17</t>
  </si>
  <si>
    <t>Konstrukce ze zemin</t>
  </si>
  <si>
    <t>5</t>
  </si>
  <si>
    <t>175101201R00</t>
  </si>
  <si>
    <t>Obsyp objektu bez prohození sypaniny</t>
  </si>
  <si>
    <t>17_</t>
  </si>
  <si>
    <t>hutněný obsyp nového potrubí + geigrů</t>
  </si>
  <si>
    <t>6</t>
  </si>
  <si>
    <t>175101209R00</t>
  </si>
  <si>
    <t>Příplatek za prohození sypaniny pro obsyp objektu</t>
  </si>
  <si>
    <t>34</t>
  </si>
  <si>
    <t>Stěny a příčky</t>
  </si>
  <si>
    <t>7</t>
  </si>
  <si>
    <t>340236211RT2</t>
  </si>
  <si>
    <t>Zazdívka otvorů pl.0,09 m2 cihlami, tl.zdi do 10cm</t>
  </si>
  <si>
    <t>kus</t>
  </si>
  <si>
    <t>34_</t>
  </si>
  <si>
    <t>01_3_</t>
  </si>
  <si>
    <t>s použitím suché maltové směsi</t>
  </si>
  <si>
    <t>8</t>
  </si>
  <si>
    <t>340237212RT2</t>
  </si>
  <si>
    <t>Zazdívka otvorů pl.0,25m2,cihlami tl.zdi nad 10 cm</t>
  </si>
  <si>
    <t>s použitím suché maltové směsi- větr. otvory</t>
  </si>
  <si>
    <t>9</t>
  </si>
  <si>
    <t>349234841R00</t>
  </si>
  <si>
    <t>Doplnění zdiva říms pod i nadokenních</t>
  </si>
  <si>
    <t>m</t>
  </si>
  <si>
    <t>z plných cihel</t>
  </si>
  <si>
    <t>1,5*6</t>
  </si>
  <si>
    <t>10</t>
  </si>
  <si>
    <t>349235851R00</t>
  </si>
  <si>
    <t>Doplnění plošných fasádních prvků vylož. do 8 cm</t>
  </si>
  <si>
    <t>šambrány u oken, výkladců a dveří</t>
  </si>
  <si>
    <t>((1,8*2+1,3)*3+(2,07*2+1,3)*6)*0,12</t>
  </si>
  <si>
    <t>(2,5+1,5)*2*2*0,14+(2,4*2+3,6)*0,17</t>
  </si>
  <si>
    <t>38</t>
  </si>
  <si>
    <t>Různé kompletní konstrukce nedělitelné do stav. dílů</t>
  </si>
  <si>
    <t>380942113RT3</t>
  </si>
  <si>
    <t>Výztuž helikální 1x d 8 mm, vrt, cihelné zdivo</t>
  </si>
  <si>
    <t>38_</t>
  </si>
  <si>
    <t>Helibar 1xD 8mm, P v tahu 1128 MPa, vrt, cih.zdivo</t>
  </si>
  <si>
    <t xml:space="preserve">V položce jsou zakalkulovány náklady: - vrtání vrtu v cihelném zdivu - zbavení vrtu hrubších nečistot a prachových částí - vypláchnutí vrtu vodou - vlepení výztuže Helibar (pevnost v tahu 1128 MPa) do kotevní malty HeliBond MM3 včetně dodávky materiálu.
Bude fakturováno dle skutečného množství výztuže.</t>
  </si>
  <si>
    <t>39</t>
  </si>
  <si>
    <t>Rekonstrukce ostatní</t>
  </si>
  <si>
    <t>12</t>
  </si>
  <si>
    <t>392571111R00</t>
  </si>
  <si>
    <t>Otryskání granulátem líce kamenného soklu</t>
  </si>
  <si>
    <t>39_</t>
  </si>
  <si>
    <t>4,9+0,9</t>
  </si>
  <si>
    <t>vytvoření hrubšíhoi povrchu soklu</t>
  </si>
  <si>
    <t>392572111R00</t>
  </si>
  <si>
    <t>Otryskání pískem kamenných schodů</t>
  </si>
  <si>
    <t>56</t>
  </si>
  <si>
    <t>Podkladní vrstvy komunikací, letišť a ploch</t>
  </si>
  <si>
    <t>14</t>
  </si>
  <si>
    <t>564811111RT2</t>
  </si>
  <si>
    <t>Podklad ze štěrkodrti po zhutnění tloušťky 5 cm</t>
  </si>
  <si>
    <t>56_</t>
  </si>
  <si>
    <t>01_5_</t>
  </si>
  <si>
    <t>štěrkodrť frakce 0-32 mm</t>
  </si>
  <si>
    <t>pro vyrovnání chodníku</t>
  </si>
  <si>
    <t>59</t>
  </si>
  <si>
    <t>Kryty pozemních komunikací, letišť a ploch dlážděných (předlažby)</t>
  </si>
  <si>
    <t>15</t>
  </si>
  <si>
    <t>591111111R00</t>
  </si>
  <si>
    <t>Kladení dlažby velké kostky,lože z kamen.tl. 5 cm</t>
  </si>
  <si>
    <t>59_</t>
  </si>
  <si>
    <t>zpětné položení kamen. dlažby chodníku</t>
  </si>
  <si>
    <t>61</t>
  </si>
  <si>
    <t>Úprava povrchů vnitřní a vnější</t>
  </si>
  <si>
    <t>16</t>
  </si>
  <si>
    <t>610991111R00</t>
  </si>
  <si>
    <t>Zakrývání výplní vnitřních otvorů</t>
  </si>
  <si>
    <t>61_</t>
  </si>
  <si>
    <t>01_6_</t>
  </si>
  <si>
    <t>1,15*2,4*4+10,0</t>
  </si>
  <si>
    <t>612425931RT2</t>
  </si>
  <si>
    <t>Omítka vápenná vnitřního  ostění - štuková</t>
  </si>
  <si>
    <t>(1,15+2,2)*2*2*0,3+8,2*0,3</t>
  </si>
  <si>
    <t>18</t>
  </si>
  <si>
    <t>612441742R00</t>
  </si>
  <si>
    <t>Tažená vápensádrová římsa s proved.kostry 200 mm</t>
  </si>
  <si>
    <t>1,5*6+8,2+1,5*3+8,2+8,45</t>
  </si>
  <si>
    <t>včetně nového tverování stávající kordonové a hlavní korunní římsy</t>
  </si>
  <si>
    <t>19</t>
  </si>
  <si>
    <t>612441746R00</t>
  </si>
  <si>
    <t>Tažená vápensádrová římsa s proved.kostry 400 mm</t>
  </si>
  <si>
    <t>1,5*3+3,2</t>
  </si>
  <si>
    <t>nadokenní římsy velké + horní oblouk u dveří</t>
  </si>
  <si>
    <t>20</t>
  </si>
  <si>
    <t>931961115RR1</t>
  </si>
  <si>
    <t>Vložky do dilatačních spár, polystyren, tl 50 mm</t>
  </si>
  <si>
    <t>pás STYRODUR u výkladců</t>
  </si>
  <si>
    <t>1,2*2*0,07</t>
  </si>
  <si>
    <t>62</t>
  </si>
  <si>
    <t>Úprava povrchů vnější</t>
  </si>
  <si>
    <t>21</t>
  </si>
  <si>
    <t>620401141R00</t>
  </si>
  <si>
    <t>Nátěr zpevňovací Hasit Verfestiger 1x, váp.podklad</t>
  </si>
  <si>
    <t>62_</t>
  </si>
  <si>
    <t>99,2+13,8</t>
  </si>
  <si>
    <t>22</t>
  </si>
  <si>
    <t>620991121R00</t>
  </si>
  <si>
    <t>Zakrývání výplní vnějších otvorů z lešení</t>
  </si>
  <si>
    <t>1,05*1,95*6+1,05*1,65*3+1,12*2,2*2+8,0</t>
  </si>
  <si>
    <t>23</t>
  </si>
  <si>
    <t>622421145R00</t>
  </si>
  <si>
    <t>Omítka vnější stěn, MV, štuková, složitost 4</t>
  </si>
  <si>
    <t>část 1,5 m nad soklem</t>
  </si>
  <si>
    <t>24</t>
  </si>
  <si>
    <t>622422222R00</t>
  </si>
  <si>
    <t>Oprava vnějších omítek do 20 % plochy, složitost I-II., štuk na 100 % plochy</t>
  </si>
  <si>
    <t>boční fasáda</t>
  </si>
  <si>
    <t>25</t>
  </si>
  <si>
    <t>622424222R00</t>
  </si>
  <si>
    <t>Oprava vnějších omítek do 20 % plochy, složitost IV., štuk na 100 % plochy</t>
  </si>
  <si>
    <t>82,0+17,2</t>
  </si>
  <si>
    <t>26</t>
  </si>
  <si>
    <t>622471317RS8</t>
  </si>
  <si>
    <t>Nátěr fasádní stěn vnějších, složitost 1 - 2</t>
  </si>
  <si>
    <t>hmota silikátová Keim barevná skupina II</t>
  </si>
  <si>
    <t>16,5+60,0</t>
  </si>
  <si>
    <t>včetně penetrace</t>
  </si>
  <si>
    <t>27</t>
  </si>
  <si>
    <t>622471318RS8</t>
  </si>
  <si>
    <t>Nátěr fasádní stěn vnějších, složitost 3 - 4</t>
  </si>
  <si>
    <t>87,0+19,8+12,6</t>
  </si>
  <si>
    <t>28</t>
  </si>
  <si>
    <t>622904112R00</t>
  </si>
  <si>
    <t>Očištění fasád tlakovou vodou složitost 1 - 2</t>
  </si>
  <si>
    <t>štít nad střechou</t>
  </si>
  <si>
    <t>63</t>
  </si>
  <si>
    <t>Podlahy a podlahové konstrukce</t>
  </si>
  <si>
    <t>29</t>
  </si>
  <si>
    <t>632411150RT5</t>
  </si>
  <si>
    <t>Potěr ze SMS Cemix, ruční zpracování, tl. 50 mm</t>
  </si>
  <si>
    <t>63_</t>
  </si>
  <si>
    <t>cementový potěr rychletuhnoucí 40 MPa</t>
  </si>
  <si>
    <t>(1,1*0,78+1,15*0,77)+1,15*0,23*2</t>
  </si>
  <si>
    <t>Podkladní potěr pod parapety, včetně bednění hrany</t>
  </si>
  <si>
    <t>764</t>
  </si>
  <si>
    <t>Konstrukce klempířské</t>
  </si>
  <si>
    <t>30</t>
  </si>
  <si>
    <t>764410850R00</t>
  </si>
  <si>
    <t>Demontáž oplechování parapetů,rš od 100 do 330 mm</t>
  </si>
  <si>
    <t>764_</t>
  </si>
  <si>
    <t>01_76_</t>
  </si>
  <si>
    <t>výkladce</t>
  </si>
  <si>
    <t>1,2*2</t>
  </si>
  <si>
    <t>31</t>
  </si>
  <si>
    <t>764410880R00</t>
  </si>
  <si>
    <t>Demontáž oplechování parapetů,rš od 400 do 600 mm</t>
  </si>
  <si>
    <t>okna</t>
  </si>
  <si>
    <t>1,05*9</t>
  </si>
  <si>
    <t>32</t>
  </si>
  <si>
    <t>764412250R00</t>
  </si>
  <si>
    <t>Oplechování parapetů včetně rohů Pz, rš 330 mm</t>
  </si>
  <si>
    <t>33</t>
  </si>
  <si>
    <t>764412260R00</t>
  </si>
  <si>
    <t>Oplechování parapetů včetně rohů Pz, rš 400 mm</t>
  </si>
  <si>
    <t>1,15*3+1,6*6</t>
  </si>
  <si>
    <t>764421230R00</t>
  </si>
  <si>
    <t>Oplechování říms z Pz plechu, rš 200 mm</t>
  </si>
  <si>
    <t>35</t>
  </si>
  <si>
    <t>764421240R00</t>
  </si>
  <si>
    <t>Oplechování říms z Pz plechu, rš 250 mm</t>
  </si>
  <si>
    <t>1,7*6</t>
  </si>
  <si>
    <t>36</t>
  </si>
  <si>
    <t>764421250R00</t>
  </si>
  <si>
    <t>Oplechování říms z Pz plechu, rš 330 mm</t>
  </si>
  <si>
    <t>37</t>
  </si>
  <si>
    <t>764421850R00</t>
  </si>
  <si>
    <t>Demontáž oplechování říms,rš od 250 do 330 mm</t>
  </si>
  <si>
    <t>764453844R00</t>
  </si>
  <si>
    <t>Demontáž kolen horních dvojitých,120 a 150 mm</t>
  </si>
  <si>
    <t>764454203R00</t>
  </si>
  <si>
    <t>Odpadní trouby z Pz plechu, kruhové, D 120 mm</t>
  </si>
  <si>
    <t>15,0*2</t>
  </si>
  <si>
    <t xml:space="preserve">Položka je kalkulována včetně nákladů na dodání zděří, manžet, odboček, kolen, odskoků, výpustí vody a přechodových kusů
Levý svod bude hradit majitel sousední stavby - svod je součástí sousední stavby..</t>
  </si>
  <si>
    <t>40</t>
  </si>
  <si>
    <t>764454802R00</t>
  </si>
  <si>
    <t>Demontáž odpadních trub kruhových, D 120 mm</t>
  </si>
  <si>
    <t>41</t>
  </si>
  <si>
    <t>764456852R00</t>
  </si>
  <si>
    <t>Demontáž kolen výtokových.kruhových,D 120 mm</t>
  </si>
  <si>
    <t>766</t>
  </si>
  <si>
    <t>Konstrukce truhlářské</t>
  </si>
  <si>
    <t>42</t>
  </si>
  <si>
    <t>200 00-10</t>
  </si>
  <si>
    <t>Zaměření rozměrů stávajících okenních a dveřních otvorů</t>
  </si>
  <si>
    <t>kpl</t>
  </si>
  <si>
    <t>766_</t>
  </si>
  <si>
    <t>43</t>
  </si>
  <si>
    <t>766601213RT2</t>
  </si>
  <si>
    <t>Těsnění okenní a dveřní spáry, ostění, PT folie + PP folie</t>
  </si>
  <si>
    <t>PT folie šířky 100 mm; PP folie šířky 100 mm</t>
  </si>
  <si>
    <t>13,4+7,1</t>
  </si>
  <si>
    <t>44</t>
  </si>
  <si>
    <t>766694112R00</t>
  </si>
  <si>
    <t>Montáž parapetních desek š.do 30 cm,dl.do 160 cm</t>
  </si>
  <si>
    <t>45</t>
  </si>
  <si>
    <t>766694122R00</t>
  </si>
  <si>
    <t>Montáž parapetních desek š.nad 30 cm,dl.do 160 cm</t>
  </si>
  <si>
    <t>46</t>
  </si>
  <si>
    <t>766711021RT1</t>
  </si>
  <si>
    <t>Montáž vstupních dveří s vypěněním</t>
  </si>
  <si>
    <t>na turbošrouby</t>
  </si>
  <si>
    <t>47</t>
  </si>
  <si>
    <t>766711031RT1</t>
  </si>
  <si>
    <t>Montáž zasklených stěn - výkladců s vypěněním</t>
  </si>
  <si>
    <t>6,7*2</t>
  </si>
  <si>
    <t>771</t>
  </si>
  <si>
    <t>Podlahy z dlaždic</t>
  </si>
  <si>
    <t>48</t>
  </si>
  <si>
    <t>771100012RAA</t>
  </si>
  <si>
    <t>Vyrovnání podkladu samonivelační hmotou v interiéru</t>
  </si>
  <si>
    <t>771_</t>
  </si>
  <si>
    <t>01_77_</t>
  </si>
  <si>
    <t>nivelační hmota tl. 5 mm, s penetrací</t>
  </si>
  <si>
    <t>1,5*2,12</t>
  </si>
  <si>
    <t>49</t>
  </si>
  <si>
    <t>771570014RA0</t>
  </si>
  <si>
    <t>Dlažba z dlaždic keramických 300 x 300 mm</t>
  </si>
  <si>
    <t>do tmelu, vč. dodání retro dlaždic</t>
  </si>
  <si>
    <t>výměna a vyrovnání dlažby u vchodových dveří</t>
  </si>
  <si>
    <t>783</t>
  </si>
  <si>
    <t>Nátěry</t>
  </si>
  <si>
    <t>50</t>
  </si>
  <si>
    <t>783222120R00</t>
  </si>
  <si>
    <t>Nátěr syntetický vrchní kov.konstrukcí - 2x</t>
  </si>
  <si>
    <t>783_</t>
  </si>
  <si>
    <t>01_78_</t>
  </si>
  <si>
    <t>51</t>
  </si>
  <si>
    <t>783226100R00</t>
  </si>
  <si>
    <t>Nátěr syntetický kovových konstrukcí základní</t>
  </si>
  <si>
    <t>0,44*0,64+0,18*0,18+0,4*0,36</t>
  </si>
  <si>
    <t>52</t>
  </si>
  <si>
    <t>783522110R00</t>
  </si>
  <si>
    <t>Nátěr syntetický klempířských konstr. Z+ 2x email</t>
  </si>
  <si>
    <t>parapety</t>
  </si>
  <si>
    <t>15,0*0,4*2+1,2*0,33*2+1,15*0,4*3+1,6*0,4*6+1,7*0,25*6+4,8*0,2+8,2*0,33</t>
  </si>
  <si>
    <t>Nátěr se provádí na zcela odmaštěný a suchý pozinkovaný plech.</t>
  </si>
  <si>
    <t>784</t>
  </si>
  <si>
    <t>Malby</t>
  </si>
  <si>
    <t>53</t>
  </si>
  <si>
    <t>784011221RT2</t>
  </si>
  <si>
    <t>Zakrytí předmětů a nábytku, včetně odstranění</t>
  </si>
  <si>
    <t>784_</t>
  </si>
  <si>
    <t>včetně dodávky fólie tl. 0,04 mm</t>
  </si>
  <si>
    <t>54</t>
  </si>
  <si>
    <t>784011222RT2</t>
  </si>
  <si>
    <t>Zakrytí podlah, venk. chodníku a sousední střechy včetně odstranění</t>
  </si>
  <si>
    <t>včetně papírové lepenky, PVC fólie</t>
  </si>
  <si>
    <t>20+50+15,0*3</t>
  </si>
  <si>
    <t>včetně zakrytí chodníku a sousední střechy u jižního štítu</t>
  </si>
  <si>
    <t>55</t>
  </si>
  <si>
    <t>784161101R00</t>
  </si>
  <si>
    <t>Penetrace podkladu nátěrem HET, A - Grund 1x</t>
  </si>
  <si>
    <t>malba čelních stěn s novými otvorovými výplněmi</t>
  </si>
  <si>
    <t>784165512R00</t>
  </si>
  <si>
    <t>Malba HET Klasik, bílá, bez penetrace, 2 x</t>
  </si>
  <si>
    <t>83</t>
  </si>
  <si>
    <t>Potrubí z trub plastových</t>
  </si>
  <si>
    <t>57</t>
  </si>
  <si>
    <t>831350111RA0</t>
  </si>
  <si>
    <t>Kanalizační přípojka z trub PVC KG, D 125 mm</t>
  </si>
  <si>
    <t>83_</t>
  </si>
  <si>
    <t>01_8_</t>
  </si>
  <si>
    <t>komplet včetně trub a tvarovek</t>
  </si>
  <si>
    <t>2,0*2</t>
  </si>
  <si>
    <t>kompletní propojení dešťových svodů na kanalizaci</t>
  </si>
  <si>
    <t>831VD</t>
  </si>
  <si>
    <t>Trubní vedení</t>
  </si>
  <si>
    <t>58</t>
  </si>
  <si>
    <t>831 30-0010</t>
  </si>
  <si>
    <t>Demontáž potrubí litinového, kameninového DN 125 ve výkopu</t>
  </si>
  <si>
    <t>831VD_</t>
  </si>
  <si>
    <t>85</t>
  </si>
  <si>
    <t>Potrubí z trub litinových</t>
  </si>
  <si>
    <t>852262121R00</t>
  </si>
  <si>
    <t>Montáž trub litinových přír. do 1 m, výkop DN 125</t>
  </si>
  <si>
    <t>85_</t>
  </si>
  <si>
    <t>60</t>
  </si>
  <si>
    <t>857601104R00</t>
  </si>
  <si>
    <t>Montáž tvarovek jednoosých, tvárná litina DN 125</t>
  </si>
  <si>
    <t>montáž geigru</t>
  </si>
  <si>
    <t>90</t>
  </si>
  <si>
    <t>Hodinové zúčtovací sazby (HZS)</t>
  </si>
  <si>
    <t>902      R00</t>
  </si>
  <si>
    <t>HZS - průzkumné práce na památkách</t>
  </si>
  <si>
    <t>h</t>
  </si>
  <si>
    <t>90_</t>
  </si>
  <si>
    <t>01_9_</t>
  </si>
  <si>
    <t xml:space="preserve">zajištění odborné prohlídky fasády specialistou na památky včetně posudku stavu fasády,
průzkumné práce na kulturních památkách, sloužící pro získání podkladů k rekonstrukci kulturní památky,</t>
  </si>
  <si>
    <t>900      RT9</t>
  </si>
  <si>
    <t>HZS - odborná práce statika</t>
  </si>
  <si>
    <t>certifikovaný statik</t>
  </si>
  <si>
    <t>zjištění stavu trhlin na fasádě - zpracování statického posudku</t>
  </si>
  <si>
    <t>94</t>
  </si>
  <si>
    <t>Lešení a stavební výtahy</t>
  </si>
  <si>
    <t>941941042R00</t>
  </si>
  <si>
    <t>Montáž lešení leh.řad.s podlahami,š.1,2 m, H 30 m</t>
  </si>
  <si>
    <t>94_</t>
  </si>
  <si>
    <t>8,45*15,0+2,5*14,0</t>
  </si>
  <si>
    <t>64</t>
  </si>
  <si>
    <t>941941292R00</t>
  </si>
  <si>
    <t>Příplatek za každý měsíc použití lešení k pol.1042</t>
  </si>
  <si>
    <t>161,75*3</t>
  </si>
  <si>
    <t>65</t>
  </si>
  <si>
    <t>941941842R00</t>
  </si>
  <si>
    <t>Demontáž lešení leh.řad.s podlahami,š.1,2 m,H 30 m</t>
  </si>
  <si>
    <t>66</t>
  </si>
  <si>
    <t>941954141R00</t>
  </si>
  <si>
    <t>Montáž lešení vysunutého, s podepřením, H 20 m</t>
  </si>
  <si>
    <t>lešení na střeše</t>
  </si>
  <si>
    <t>67</t>
  </si>
  <si>
    <t>941954192R00</t>
  </si>
  <si>
    <t>Přípl. za každý měsíc použití lešení k pol. 4141-2</t>
  </si>
  <si>
    <t>60*3</t>
  </si>
  <si>
    <t>68</t>
  </si>
  <si>
    <t>941954841R00</t>
  </si>
  <si>
    <t>Demontáž lešení vysunutého s podepřením, H 20 m</t>
  </si>
  <si>
    <t>95</t>
  </si>
  <si>
    <t>Různé dokončovací konstrukce a práce na pozemních stavbách</t>
  </si>
  <si>
    <t>69</t>
  </si>
  <si>
    <t>931211115RT4</t>
  </si>
  <si>
    <t>Izolace tepelná - výplň větr. dutiny pod výkladci</t>
  </si>
  <si>
    <t>95_</t>
  </si>
  <si>
    <t>tlouška izolace 140 mm - výplň větr, otvorů</t>
  </si>
  <si>
    <t>70</t>
  </si>
  <si>
    <t>952901110R00</t>
  </si>
  <si>
    <t>Čištění mytím vnějších ploch oken a dveří</t>
  </si>
  <si>
    <t>71</t>
  </si>
  <si>
    <t>952901114R00</t>
  </si>
  <si>
    <t>Vyčištění budov o výšce podlaží nad 4 m</t>
  </si>
  <si>
    <t>40,0+12,0*4,0</t>
  </si>
  <si>
    <t>72</t>
  </si>
  <si>
    <t>953941611R00</t>
  </si>
  <si>
    <t>Osazení konzol a prvků ve zdivu cihelném</t>
  </si>
  <si>
    <t>domovní tabulky, držák reklamních poanelů, zvonk. tablo, el. krabice, dvířka HUP</t>
  </si>
  <si>
    <t>73</t>
  </si>
  <si>
    <t>953942421R00</t>
  </si>
  <si>
    <t>Osazení ocelového rámu velikosti do 1000 x 1000 mm</t>
  </si>
  <si>
    <t>el. skříň - dodávka EG.D</t>
  </si>
  <si>
    <t>74</t>
  </si>
  <si>
    <t>953981304R00</t>
  </si>
  <si>
    <t>Chemické kotvy, cihly, hl. 125 mm, M16, malta POLY</t>
  </si>
  <si>
    <t>kotvení reklamního držáku</t>
  </si>
  <si>
    <t>96</t>
  </si>
  <si>
    <t>Bourání konstrukcí</t>
  </si>
  <si>
    <t>75</t>
  </si>
  <si>
    <t>965043321RT1</t>
  </si>
  <si>
    <t>Bourání podkladů bet., potěr, tl, 10 cm, pl. 1 m2</t>
  </si>
  <si>
    <t>96_</t>
  </si>
  <si>
    <t>bet. mazanina parapetů - tl. 5 - 8 cm</t>
  </si>
  <si>
    <t>(1,1*0,78+1,15*0,77)*0,05+1,15*0,23*2*0,05</t>
  </si>
  <si>
    <t>76</t>
  </si>
  <si>
    <t>965081713RT1</t>
  </si>
  <si>
    <t>Bourání dlažeb keramických tl.10 mm, nad 1 m2</t>
  </si>
  <si>
    <t>ručně, dlaždice keramické</t>
  </si>
  <si>
    <t>;chodba;1,5*2,12</t>
  </si>
  <si>
    <t>;parapety; 1,1*(0,66+0,12)+1,15*(0,62+0,15)</t>
  </si>
  <si>
    <t>77</t>
  </si>
  <si>
    <t>966031313R00</t>
  </si>
  <si>
    <t>Bourání říms cihelných tl. 30 cm, vyložení 25 cm</t>
  </si>
  <si>
    <t>ubourání části říms - reprofilace</t>
  </si>
  <si>
    <t>8,5+8,2</t>
  </si>
  <si>
    <t>78</t>
  </si>
  <si>
    <t>966032911R00</t>
  </si>
  <si>
    <t>Odsekání říms okenních předsazených 8 cm</t>
  </si>
  <si>
    <t>(1,35+1,95)*2*3+(1,35+2,25)*2*6+(1,52+2,60)*2*2+8,0</t>
  </si>
  <si>
    <t>79</t>
  </si>
  <si>
    <t>968061126R00</t>
  </si>
  <si>
    <t>Vyvěšení dřevěných dveřních křídel pl. nad 2 m2</t>
  </si>
  <si>
    <t>80</t>
  </si>
  <si>
    <t>968062246R00</t>
  </si>
  <si>
    <t>Vybourání dřevěných rámů oken jednoduch. pl. do 4 m2</t>
  </si>
  <si>
    <t>1,12*2,2*2</t>
  </si>
  <si>
    <t>81</t>
  </si>
  <si>
    <t>968062456R00</t>
  </si>
  <si>
    <t>Vybourání dřevěných dveřních zárubní pl. nad 2 m2</t>
  </si>
  <si>
    <t>vchodové dveře</t>
  </si>
  <si>
    <t>97</t>
  </si>
  <si>
    <t>Prorážení otvorů a ostatní bourací práce</t>
  </si>
  <si>
    <t>82</t>
  </si>
  <si>
    <t>970 10-0001</t>
  </si>
  <si>
    <t>Provedení sondy v omítce na fasádě</t>
  </si>
  <si>
    <t>RTS I / 2023</t>
  </si>
  <si>
    <t>97_</t>
  </si>
  <si>
    <t>pro zjištění barevnosti fasády</t>
  </si>
  <si>
    <t>974031165R00</t>
  </si>
  <si>
    <t>Vysekání rýh ve zdi cihelné 15 x 20 cm</t>
  </si>
  <si>
    <t>pro nové nadokenní římsy</t>
  </si>
  <si>
    <t>84</t>
  </si>
  <si>
    <t>976074121R00</t>
  </si>
  <si>
    <t>Vybourání kotevních želez zeď cihelná MVC</t>
  </si>
  <si>
    <t>Vybourání prvků na fasádě - el. skříní,dvířek HUP, reklamnch panelů, krabic, zvonk. tabla, větr.mřížek, cedulky domovní atd.</t>
  </si>
  <si>
    <t>978015231R00</t>
  </si>
  <si>
    <t>Otlučení omítek vnějších MVC v složit.1-4 do 20 %</t>
  </si>
  <si>
    <t>82,0+17,2+1,17*11,8</t>
  </si>
  <si>
    <t>86</t>
  </si>
  <si>
    <t>978015291R00</t>
  </si>
  <si>
    <t>Otlučení omítek vnějších MVC v složit.1-4 do 100 %</t>
  </si>
  <si>
    <t>8,7+1,2+1,5*2*0,2+1,17*1,5</t>
  </si>
  <si>
    <t>87</t>
  </si>
  <si>
    <t>978015411R00</t>
  </si>
  <si>
    <t>Odstranění štuk. vrstvy z vnějších stěn slož. 1-4</t>
  </si>
  <si>
    <t>82,0+17,2+13,8</t>
  </si>
  <si>
    <t>88</t>
  </si>
  <si>
    <t>979011321R00</t>
  </si>
  <si>
    <t>Montáž a demontáž shozu za 2.NP</t>
  </si>
  <si>
    <t>89</t>
  </si>
  <si>
    <t>979011329R00</t>
  </si>
  <si>
    <t>Přípl. k mont.a dem. shozu za každé další podlaží</t>
  </si>
  <si>
    <t>podlaž</t>
  </si>
  <si>
    <t>979011331R00</t>
  </si>
  <si>
    <t>Pronájem shozu  (za metr)</t>
  </si>
  <si>
    <t>den</t>
  </si>
  <si>
    <t>15,0*14</t>
  </si>
  <si>
    <t>91</t>
  </si>
  <si>
    <t>979097014R00</t>
  </si>
  <si>
    <t>Pronájem kontejneru</t>
  </si>
  <si>
    <t>H99</t>
  </si>
  <si>
    <t>Ostatní přesuny hmot</t>
  </si>
  <si>
    <t>92</t>
  </si>
  <si>
    <t>999281111R00</t>
  </si>
  <si>
    <t>Přesun hmot pro opravy a údržbu do výšky 25 m</t>
  </si>
  <si>
    <t>t</t>
  </si>
  <si>
    <t>H99_</t>
  </si>
  <si>
    <t>33,86-6,42</t>
  </si>
  <si>
    <t>S</t>
  </si>
  <si>
    <t>Přesuny sutí</t>
  </si>
  <si>
    <t>93</t>
  </si>
  <si>
    <t>979011311RT1</t>
  </si>
  <si>
    <t>Svislá doprava suti a vybouraných hmot shozem</t>
  </si>
  <si>
    <t>S_</t>
  </si>
  <si>
    <t>s naložením do shozu</t>
  </si>
  <si>
    <t>6,42-0,57</t>
  </si>
  <si>
    <t>979081111R00</t>
  </si>
  <si>
    <t>Odvoz suti a vybour. hmot na skládku do 1 km</t>
  </si>
  <si>
    <t>3,23+3,19</t>
  </si>
  <si>
    <t>979081121R00</t>
  </si>
  <si>
    <t>Příplatek k odvozu za každý další 1 km</t>
  </si>
  <si>
    <t>14*6,42</t>
  </si>
  <si>
    <t>979082111R00</t>
  </si>
  <si>
    <t>Vnitrostaveništní doprava suti do 10 m</t>
  </si>
  <si>
    <t>979990162R00</t>
  </si>
  <si>
    <t>Poplatek za uložení suti - dřevo+sklo, skupina odpadu 170904</t>
  </si>
  <si>
    <t>98</t>
  </si>
  <si>
    <t>979999997R00</t>
  </si>
  <si>
    <t>Poplatek za recyklaci směsi suti betonu, cihel, omítek a keram.výrobků, kusovost do 1600 cm2 (170107)</t>
  </si>
  <si>
    <t>M</t>
  </si>
  <si>
    <t>Ostatní materiál</t>
  </si>
  <si>
    <t>99</t>
  </si>
  <si>
    <t>55243555</t>
  </si>
  <si>
    <t>Lapač střešních splavenin, litinový gajgr DN 125</t>
  </si>
  <si>
    <t>0</t>
  </si>
  <si>
    <t>Z99999_</t>
  </si>
  <si>
    <t>01_Z_</t>
  </si>
  <si>
    <t>100</t>
  </si>
  <si>
    <t>5525117402</t>
  </si>
  <si>
    <t>Trouba litinová hrdlová  kanalizační, DN 125</t>
  </si>
  <si>
    <t>0,6*2</t>
  </si>
  <si>
    <t>101</t>
  </si>
  <si>
    <t>553 0024</t>
  </si>
  <si>
    <t>Reklamní panel - kovářský výrobek atyp</t>
  </si>
  <si>
    <t>RTS I / 2022</t>
  </si>
  <si>
    <t>včetně smaltovaných reklamních cedulí 40/30 cm - 5 kusů - s názvy nájemců</t>
  </si>
  <si>
    <t>102</t>
  </si>
  <si>
    <t>553 0060</t>
  </si>
  <si>
    <t>Krabice NN - ocel  18/18 cm</t>
  </si>
  <si>
    <t>103</t>
  </si>
  <si>
    <t>553 0070</t>
  </si>
  <si>
    <t>Cedulka domovní dle normy, smaltovaná</t>
  </si>
  <si>
    <t>104</t>
  </si>
  <si>
    <t>55346865</t>
  </si>
  <si>
    <t>Skříň pro HUP s dvířky - ocel  35/30 cm</t>
  </si>
  <si>
    <t>105</t>
  </si>
  <si>
    <t>61110220</t>
  </si>
  <si>
    <t>Výkladec dřevěný pevný, se sklop.nadsvětlíkem, DUB 1 120 x 2 200 mm</t>
  </si>
  <si>
    <t xml:space="preserve">VÝKLADEC DŘEVĚNÝ JEDNODUCHÝ, PEVNÝ, SE SKLOPNÝM NADSVĚTLÍKEM
ROZMĚR 1 120 x 2 200 mm,
- dolní část pevné zasklení, horní větrací křídlo sklopné - tří nebo čtyřvrstvý hranol - dub - nenapojovaný profil
- stavební šíře 68 mm - izolační dvojsklo 4-16-4 Ug=1,1 W/m2K, Uw=1,2 W/m2K
- celoobvodové kování s bezpečnostními IS čepy - krytá rámová okapnice dřevěnou hladkou lištou
- celoobvodové středové a vnitřní těsnění - čtyřvrstvá povrchová úprava - silnovrstvá lazura  nebo vooduředitelná barva
- zachování kvality nátěru min. 10 let - hloubka zasklívací drážky 23 mm - ovládání horního větracího křídla 
  klasickým ručním pákovým mechanizmem ve výšce 1,2 - 1,3 m od podlahy</t>
  </si>
  <si>
    <t>106</t>
  </si>
  <si>
    <t>61173326</t>
  </si>
  <si>
    <t>Dveře dřevěné vchodové 2 kř. - DUB 1 570 (1 800) x 3 230 mm P, 2/3 sklo, nadsv., včetně zárubně</t>
  </si>
  <si>
    <t xml:space="preserve">Dveře dvoukřídlové pravé, s pevným nadsvětlíkem, otevírání do interiéru
- provedení dveří s profilovými lištami - viz obrázek - v historizujícím stylu, boční výplně plné
- čtyřvrstvý hranol - DUB, profil IV 88 mm- nenapojovaný profil
- tepelně a zvukově izolační PUR výplň tloušťky 34 mm,  PUR - profilová tloušťky 52 mm
- izolační dvojsklo 4-16-4 plněné argonem   Ug = 1,1 W/m2K, Uw = 1,2 W/m2K,
  plastový teplý rámeček v barvě rámu
- bezpečnostní systém uzamykatelný na pěti bodech - nízkoprofilový dubový práh 75 x 20 mm   - barva prahu  nátěr v barvě dveří
- 3D vysokozátěžové závěsy seřiditelné ve třech osách
- čtyřvrstvá povrchová úprava
- 2 x dvojkomorové trvale pružné těsnění s tvarovou pamětí - kování klika - klika - kované železo</t>
  </si>
  <si>
    <t>107</t>
  </si>
  <si>
    <t>611810</t>
  </si>
  <si>
    <t>Parapet dub tl. 25 mm - 1 180 x 180 mm olej</t>
  </si>
  <si>
    <t>RTS I/2025</t>
  </si>
  <si>
    <t>108</t>
  </si>
  <si>
    <t>Parapet dub tl. 25 mm - 1 120 x 150 mm olej</t>
  </si>
  <si>
    <t>109</t>
  </si>
  <si>
    <t>Parapet dub tl. 25 mm - 1 180 x 620 mm olej</t>
  </si>
  <si>
    <t>110</t>
  </si>
  <si>
    <t>Parapet dub tl. 25 mm - 1 120 x 660 mm olej</t>
  </si>
  <si>
    <t>VRN-ZS</t>
  </si>
  <si>
    <t>Vedlejší rozpočtové náklady - zařízení staveniště</t>
  </si>
  <si>
    <t>010VD</t>
  </si>
  <si>
    <t>Vedlejší rozpočtové náklady</t>
  </si>
  <si>
    <t>111</t>
  </si>
  <si>
    <t>100 00-01</t>
  </si>
  <si>
    <t>Náklady na zajištění dokladové části, atesty</t>
  </si>
  <si>
    <t>soubor</t>
  </si>
  <si>
    <t>RTS I / 2024</t>
  </si>
  <si>
    <t>010VD_</t>
  </si>
  <si>
    <t>VRN-ZS_0_</t>
  </si>
  <si>
    <t>VRN-ZS_</t>
  </si>
  <si>
    <t>Náklady na zajištění dokladové části  - atetsy pro truhlářské výrobky, zasklení, použité barvy - atesty výrobků dle platných ČSN, předávací dokumentace atd.</t>
  </si>
  <si>
    <t>112</t>
  </si>
  <si>
    <t>Náklady na zařízení staveniště</t>
  </si>
  <si>
    <t xml:space="preserve">Náklady na projednání a zajištění míst GZS (zázemí zhotovitele, skládky materiálů k zabudování do stavby, skládky sypkých materiálů). Vše rozsahu souvisejících nákladů a případných poplatků za užívání či nájem ploch. Zařízení staveniště pro stavbu.
</t>
  </si>
  <si>
    <t>113</t>
  </si>
  <si>
    <t>Náklady na vypracování harmonogramu</t>
  </si>
  <si>
    <t>Náklady na vypracování harmonogramu stavebních prací pro stavbu s jeho průběžnou aktualizací, projednání a odsouhlasení s investorem, provozovatelem, DOS a koordinátorem BOZP.</t>
  </si>
  <si>
    <t>114</t>
  </si>
  <si>
    <t>Náklady na zajištění skládek</t>
  </si>
  <si>
    <t>Náklady na projednání a zajištění míst mezideponií a deponií vytěžených hmot, tzn. projednání uložení vytěžených hmot na dočasné skládky po dobu stavby, respektive trvalé skládky za účelem trvalého uložení vytěžených hmot s vlastníky pozemků či skládek. Před zahájením stavby bude doložen investorovi smluvní vztah s vlastníkem skládky na nichž budou vybourané hmoty ukládány.</t>
  </si>
  <si>
    <t>115</t>
  </si>
  <si>
    <t>Náklady na projednání záborů vč. poplatků</t>
  </si>
  <si>
    <t>Náklady na projednání a zajištění záborů všech ploch potřebných k realizaci stavby, včetně případných poplatků za pronájem ploch.</t>
  </si>
  <si>
    <t>116</t>
  </si>
  <si>
    <t>Náklady na oplocení, ohrazení stavby</t>
  </si>
  <si>
    <t>Náklady na zřízení, údržbu, přemístění a zrušení oplocení či ohrazení stavby, případně jejich jiné vyznačení v intravilánu po dobu jejich existence s odkazem na předpisy BOZP a součinnost určeného koordinátora BOZP stavby</t>
  </si>
  <si>
    <t>117</t>
  </si>
  <si>
    <t>Náklady na informační cedule</t>
  </si>
  <si>
    <t xml:space="preserve">Náklady na pořízení informačních, zákazových a příkazových cedulí pro zajištění označení stavby a příkazových cedulí pro vymezení pohybu chodců či vozidel po staveništi (osazení dle potřeby stavby), 
náklady na osazení, přemístění a zrušení cedulí
</t>
  </si>
  <si>
    <t>118</t>
  </si>
  <si>
    <t>Náklady na zajištění dopravy</t>
  </si>
  <si>
    <t>Náklady na projednání návrhu dočasného dopravního značení /MMJ, odbor dopravy, Policie ČR, DI, zřízení, přemisťování a zrušení dočasného dopravního značení pro jednotlivé stavby ve vazbě na harmonogram prací.</t>
  </si>
  <si>
    <t>119</t>
  </si>
  <si>
    <t>Náklady na vytýčení stávajících inž. sítí</t>
  </si>
  <si>
    <t xml:space="preserve">Polohové a hloubkové vytyčení stávajících sítí před zahájením zemních prací pro každou stavbu zvlášť,
( opakované vytyčení v případě poškození, ztráty, znehodnocení či nejasnosti vytyčovacích znaků v terénu
staveniště ) sítě a zařízení, včetně protokolárního předání vytyčení</t>
  </si>
  <si>
    <t>120</t>
  </si>
  <si>
    <t>Náklady na provedení sond</t>
  </si>
  <si>
    <t>Náklady na provedení stratigrafických sond na fasádě za účelem zjištění původních vrstev  a barevnosti fasády</t>
  </si>
  <si>
    <t>121</t>
  </si>
  <si>
    <t>Náklady na provedení a zajištění vzorků</t>
  </si>
  <si>
    <t xml:space="preserve">Náklady na provedení vzorků barevnosti fasády, vzorky nátěru dveří a výkladců,
zajištění výrobní dokumentace včetně vzorků - řešení prvků na fasádě - římsy, šambrány afd.,
projednání detailů truhlářských a dalších konstrukcí</t>
  </si>
  <si>
    <t>Celkem:</t>
  </si>
  <si>
    <t>Náklady na veškeré výkony a materiály jsou obsaženy v příslušných položkách</t>
  </si>
  <si>
    <t>Soupis prací - Jen objekty celkem</t>
  </si>
  <si>
    <t>Zkrácený popis</t>
  </si>
  <si>
    <t>F</t>
  </si>
  <si>
    <t>Krycí list soupisu prací</t>
  </si>
  <si>
    <t>IČO/DIČ:</t>
  </si>
  <si>
    <t>00286010/</t>
  </si>
  <si>
    <t>26231506/</t>
  </si>
  <si>
    <t>Položek:</t>
  </si>
  <si>
    <t>Datum:</t>
  </si>
  <si>
    <t>Rozpočtové náklady v Kč</t>
  </si>
  <si>
    <t>A</t>
  </si>
  <si>
    <t>Základní rozpočtové náklady</t>
  </si>
  <si>
    <t>B</t>
  </si>
  <si>
    <t>Doplňkové náklady</t>
  </si>
  <si>
    <t>C</t>
  </si>
  <si>
    <t>Náklady na umístění stavby (NUS)</t>
  </si>
  <si>
    <t>HSV</t>
  </si>
  <si>
    <t>Dodávky</t>
  </si>
  <si>
    <t>Práce přesčas</t>
  </si>
  <si>
    <t>Zařízení staveniště</t>
  </si>
  <si>
    <t>Bez pevné podl.</t>
  </si>
  <si>
    <t>Mimostav. doprava</t>
  </si>
  <si>
    <t>PSV</t>
  </si>
  <si>
    <t>Kulturní památka</t>
  </si>
  <si>
    <t>Územní vlivy</t>
  </si>
  <si>
    <t>Provozní vlivy</t>
  </si>
  <si>
    <t>"M"</t>
  </si>
  <si>
    <t>Ostatní</t>
  </si>
  <si>
    <t>NUS z rozpočtu</t>
  </si>
  <si>
    <t>Přesun hmot a sutí</t>
  </si>
  <si>
    <t>ZRN celkem</t>
  </si>
  <si>
    <t>DN celkem</t>
  </si>
  <si>
    <t>NUS celkem</t>
  </si>
  <si>
    <t>DN celkem z obj.</t>
  </si>
  <si>
    <t>NUS celkem z obj.</t>
  </si>
  <si>
    <t>VORN celkem</t>
  </si>
  <si>
    <t>VORN celkem z obj.</t>
  </si>
  <si>
    <t>Základ 0%</t>
  </si>
  <si>
    <t>Základ 12%</t>
  </si>
  <si>
    <t>DPH 12%</t>
  </si>
  <si>
    <t>Celkem bez DPH</t>
  </si>
  <si>
    <t>Základ 21%</t>
  </si>
  <si>
    <t>DPH 21%</t>
  </si>
  <si>
    <t>Celkem včetně DPH</t>
  </si>
  <si>
    <t>Projektant</t>
  </si>
  <si>
    <t>Objednatel</t>
  </si>
  <si>
    <t>Zhotovitel</t>
  </si>
  <si>
    <t>Datum, razítko a podpis</t>
  </si>
  <si>
    <t xml:space="preserve">Náklady na veškeré výkony a materiály jsou obsaženy v příslušných položkách </t>
  </si>
  <si>
    <t>Vedlejší a ostatní rozpočtové náklady</t>
  </si>
  <si>
    <t>Vedlejší rozpočtové náklady VRN</t>
  </si>
  <si>
    <t>Doplňkové náklady DN</t>
  </si>
  <si>
    <t>Kč</t>
  </si>
  <si>
    <t>%</t>
  </si>
  <si>
    <t>Základna</t>
  </si>
  <si>
    <t>Celkem DN</t>
  </si>
  <si>
    <t>Celkem NUS</t>
  </si>
  <si>
    <t>Celkem VRN</t>
  </si>
  <si>
    <t>Ostatní rozpočtové náklady ORN</t>
  </si>
  <si>
    <t>Ostatní rozpočtové náklady (ORN)</t>
  </si>
  <si>
    <t>Celkem ORN</t>
  </si>
</sst>
</file>

<file path=xl/styles.xml><?xml version="1.0" encoding="utf-8"?>
<styleSheet xmlns="http://schemas.openxmlformats.org/spreadsheetml/2006/main">
  <numFmts count="0"/>
  <fonts count="15">
    <font>
      <sz val="11"/>
      <name val="Calibri"/>
      <charset val="1"/>
    </font>
    <font>
      <color rgb="FF000000"/>
      <sz val="18"/>
      <name val="Arial"/>
      <charset val="238"/>
    </font>
    <font>
      <color rgb="FF000000"/>
      <sz val="10"/>
      <name val="Arial"/>
      <charset val="238"/>
      <b/>
    </font>
    <font>
      <color rgb="FF000000"/>
      <sz val="10"/>
      <name val="Arial"/>
      <charset val="238"/>
    </font>
    <font>
      <color rgb="FF000000"/>
      <sz val="10"/>
      <name val="Arial"/>
      <charset val="238"/>
      <i/>
    </font>
    <font>
      <color rgb="FFDF0000"/>
      <sz val="10"/>
      <name val="Arial"/>
      <charset val="238"/>
      <i/>
    </font>
    <font>
      <color rgb="FF0000FF"/>
      <sz val="10"/>
      <name val="Arial"/>
      <charset val="238"/>
      <i/>
    </font>
    <font>
      <color rgb="FF0078D7"/>
      <sz val="10"/>
      <name val="Arial"/>
      <charset val="238"/>
      <i/>
    </font>
    <font>
      <sz val="11"/>
      <name val="Arial"/>
      <charset val="1"/>
    </font>
    <font>
      <color rgb="FF000000"/>
      <sz val="8"/>
      <name val="Arial"/>
      <charset val="238"/>
      <i/>
    </font>
    <font>
      <color rgb="FF000000"/>
      <sz val="18"/>
      <name val="Arial"/>
      <charset val="238"/>
      <b/>
    </font>
    <font>
      <color rgb="FF000000"/>
      <sz val="20"/>
      <name val="Arial"/>
      <charset val="238"/>
      <b/>
    </font>
    <font>
      <color rgb="FF000000"/>
      <sz val="11"/>
      <name val="Arial"/>
      <charset val="238"/>
      <b/>
    </font>
    <font>
      <color rgb="FF000000"/>
      <sz val="12"/>
      <name val="Arial"/>
      <charset val="238"/>
      <b/>
    </font>
    <font>
      <color rgb="FF000000"/>
      <sz val="12"/>
      <name val="Arial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C8E1D8"/>
        <bgColor rgb="FFC8E1D8"/>
      </patternFill>
    </fill>
  </fills>
  <borders count="98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C0C0C0"/>
      </left>
      <right>
        <color rgb="FFC0C0C0"/>
      </right>
      <top>
        <color rgb="FFC0C0C0"/>
      </top>
      <bottom>
        <color rgb="FFC0C0C0"/>
      </bottom>
      <diagonal/>
    </border>
    <border>
      <left/>
      <right>
        <color rgb="FFC0C0C0"/>
      </right>
      <top>
        <color rgb="FFC0C0C0"/>
      </top>
      <bottom>
        <color rgb="FFC0C0C0"/>
      </bottom>
      <diagonal/>
    </border>
    <border>
      <left/>
      <right/>
      <top>
        <color rgb="FFC0C0C0"/>
      </top>
      <bottom>
        <color rgb="FFC0C0C0"/>
      </bottom>
      <diagonal/>
    </border>
    <border>
      <left>
        <color rgb="FFC0C0C0"/>
      </left>
      <right>
        <color rgb="FFC0C0C0"/>
      </right>
      <top>
        <color rgb="FFC0C0C0"/>
      </top>
      <bottom>
        <color rgb="FFC0C0C0"/>
      </bottom>
      <diagonal/>
    </border>
    <border>
      <left/>
      <right style="thin">
        <color rgb="FFC0C0C0"/>
      </right>
      <top>
        <color rgb="FFC0C0C0"/>
      </top>
      <bottom>
        <color rgb="FFC0C0C0"/>
      </bottom>
      <diagonal/>
    </border>
    <border>
      <left style="thin">
        <color rgb="FFC0C0C0"/>
      </left>
      <right>
        <color rgb="FFC0C0C0"/>
      </right>
      <top/>
      <bottom>
        <color rgb="FFC0C0C0"/>
      </bottom>
      <diagonal/>
    </border>
    <border>
      <left/>
      <right>
        <color rgb="FFC0C0C0"/>
      </right>
      <top/>
      <bottom>
        <color rgb="FFC0C0C0"/>
      </bottom>
      <diagonal/>
    </border>
    <border>
      <left/>
      <right/>
      <top/>
      <bottom>
        <color rgb="FFC0C0C0"/>
      </bottom>
      <diagonal/>
    </border>
    <border>
      <left>
        <color rgb="FFC0C0C0"/>
      </left>
      <right>
        <color rgb="FFC0C0C0"/>
      </right>
      <top/>
      <bottom>
        <color rgb="FFC0C0C0"/>
      </bottom>
      <diagonal/>
    </border>
    <border>
      <left/>
      <right style="thin">
        <color rgb="FFC0C0C0"/>
      </right>
      <top/>
      <bottom>
        <color rgb="FFC0C0C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borderId="0" fillId="0" fontId="0" numFmtId="0"/>
  </cellStyleXfs>
  <cellXfs count="221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0" fontId="1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2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" fillId="0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3" fontId="3" numFmtId="0" xfId="0">
      <alignment horizontal="left" vertical="center" textRotation="0" shrinkToFit="false" wrapText="true"/>
      <protection hidden="false" locked="false"/>
    </xf>
    <xf applyAlignment="true" applyBorder="true" applyFill="true" applyNumberFormat="true" applyFont="true" applyProtection="true" borderId="6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7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1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1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2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1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4" fillId="3" fontId="2" numFmtId="0" xfId="0">
      <alignment horizontal="center" vertical="center" textRotation="0" shrinkToFit="false" wrapText="false"/>
      <protection hidden="false" locked="false"/>
    </xf>
    <xf applyAlignment="true" applyBorder="true" applyFill="true" applyNumberFormat="true" applyFont="true" applyProtection="true" borderId="15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7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8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9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0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21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4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5" fillId="3" fontId="2" numFmtId="0" xfId="0">
      <alignment horizontal="center" vertical="center" textRotation="0" shrinkToFit="false" wrapText="false"/>
      <protection hidden="false" locked="false"/>
    </xf>
    <xf applyAlignment="true" applyBorder="true" applyFill="true" applyNumberFormat="true" applyFont="true" applyProtection="true" borderId="26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7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8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9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0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1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2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2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3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4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33" fillId="2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4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4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3" numFmtId="4" xfId="0">
      <alignment horizontal="righ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4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5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5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5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5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6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7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7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7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5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2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6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4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36" fillId="2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7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8" fillId="5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9" fillId="5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9" fillId="5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9" fillId="5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9" fillId="3" fontId="3" numFmtId="4" xfId="0">
      <alignment horizontal="right" vertical="center" textRotation="0" shrinkToFit="false" wrapText="false"/>
      <protection hidden="false" locked="false"/>
    </xf>
    <xf applyAlignment="true" applyBorder="true" applyFill="true" applyNumberFormat="true" applyFont="true" applyProtection="true" borderId="40" fillId="5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1" fillId="5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2" fillId="5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3" fillId="5" fontId="8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4" fillId="5" fontId="8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4" fillId="5" fontId="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4" fillId="5" fontId="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4" fillId="5" fontId="6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4" fillId="3" fontId="8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5" fillId="5" fontId="8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6" fillId="5" fontId="8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7" fillId="5" fontId="8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8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2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49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4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49" fillId="2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0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1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7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7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52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3" fontId="7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53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9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5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7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1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8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9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0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4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1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1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3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1" fillId="0" fontId="1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6" fillId="0" fontId="3" numFmtId="1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5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2" fillId="0" fontId="10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63" fillId="2" fontId="11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64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5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6" fillId="2" fontId="11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67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8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8" fillId="0" fontId="14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9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0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8" fillId="0" fontId="14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1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2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0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3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4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5" fillId="0" fontId="14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6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4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5" fillId="0" fontId="14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7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5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6" fillId="0" fontId="14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4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7" fillId="0" fontId="14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9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7" fillId="2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8" fillId="2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5" fillId="2" fontId="1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2" fillId="2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9" fillId="2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0" fillId="2" fontId="1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4" fillId="2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9" fillId="2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0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5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1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2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3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4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5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6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8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7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8" fillId="0" fontId="1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9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5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7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7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9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8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8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9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1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2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9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4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5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6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6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96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93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4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5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7" fillId="0" fontId="1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94" fillId="0" fontId="1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95" fillId="0" fontId="13" numFmtId="0" xfId="0">
      <alignment horizontal="right" vertical="center" textRotation="0" shrinkToFit="false" wrapText="false"/>
      <protection hidden="false" locked="true"/>
    </xf>
  </cellXfs>
  <dxfs count="0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_rels/drawing1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2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3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4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drawing1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2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3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4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worksheets/_rels/sheet1.xml.rels>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BX297"/>
  <sheetViews>
    <sheetView workbookViewId="0" tabSelected="true" showZeros="true" showFormulas="false" showGridLines="true" showRowColHeaders="true">
      <pane topLeftCell="A12" state="frozen" activePane="bottomLeft" ySplit="11"/>
      <selection pane="bottomLeft" sqref="A297:O297" activeCell="A297"/>
    </sheetView>
  </sheetViews>
  <sheetFormatPr defaultColWidth="12.140625" customHeight="true" defaultRowHeight="15"/>
  <cols>
    <col max="1" min="1" style="0" width="3.99609375" customWidth="true"/>
    <col max="2" min="2" style="0" width="7.5703125" customWidth="true"/>
    <col max="3" min="3" style="0" width="17.85546875" customWidth="true"/>
    <col max="4" min="4" style="0" width="42.85546875" customWidth="true"/>
    <col max="5" min="5" style="0" width="35.7109375" customWidth="true"/>
    <col max="6" min="6" style="0" width="6.42578125" customWidth="true"/>
    <col max="7" min="7" style="0" width="12.85546875" customWidth="true"/>
    <col max="8" min="8" style="0" width="12" customWidth="true"/>
    <col max="11" min="9" style="0" width="15.7109375" customWidth="true"/>
    <col max="14" min="12" style="0" width="11.7109375" customWidth="true"/>
    <col max="15" min="15" style="0" width="13.42578125" customWidth="true"/>
    <col max="75" min="25" style="0" width="12.140625" hidden="true"/>
    <col max="76" min="76" style="0" width="78.5703125" customWidth="true" hidden="true"/>
    <col max="78" min="77" style="0" width="12.140625" hidden="true"/>
  </cols>
  <sheetData>
    <row r="1" customHeight="true" ht="54.7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AS1" s="2">
        <f>SUM(AJ1:AJ2)</f>
      </c>
      <c r="AT1" s="2">
        <f>SUM(AK1:AK2)</f>
      </c>
      <c r="AU1" s="2">
        <f>SUM(AL1:AL2)</f>
      </c>
    </row>
    <row r="2">
      <c r="A2" s="3" t="s">
        <v>1</v>
      </c>
      <c r="B2" s="4"/>
      <c r="C2" s="4"/>
      <c r="D2" s="5" t="s">
        <v>2</v>
      </c>
      <c r="E2" s="6"/>
      <c r="F2" s="4" t="s">
        <v>3</v>
      </c>
      <c r="G2" s="4"/>
      <c r="H2" s="7" t="s">
        <v>4</v>
      </c>
      <c r="I2" s="8" t="s">
        <v>5</v>
      </c>
      <c r="J2" s="8" t="s">
        <v>6</v>
      </c>
      <c r="K2" s="4"/>
      <c r="L2" s="4"/>
      <c r="M2" s="4"/>
      <c r="N2" s="4"/>
      <c r="O2" s="9"/>
    </row>
    <row r="3">
      <c r="A3" s="10"/>
      <c r="B3" s="11"/>
      <c r="C3" s="11"/>
      <c r="D3" s="12"/>
      <c r="E3" s="12"/>
      <c r="F3" s="11"/>
      <c r="G3" s="11"/>
      <c r="H3" s="13"/>
      <c r="I3" s="11"/>
      <c r="J3" s="11"/>
      <c r="K3" s="11"/>
      <c r="L3" s="11"/>
      <c r="M3" s="11"/>
      <c r="N3" s="11"/>
      <c r="O3" s="14"/>
    </row>
    <row r="4">
      <c r="A4" s="15" t="s">
        <v>7</v>
      </c>
      <c r="B4" s="11"/>
      <c r="C4" s="11"/>
      <c r="D4" s="16" t="s">
        <v>4</v>
      </c>
      <c r="E4" s="11"/>
      <c r="F4" s="11" t="s">
        <v>8</v>
      </c>
      <c r="G4" s="11"/>
      <c r="H4" s="13" t="s">
        <v>4</v>
      </c>
      <c r="I4" s="16" t="s">
        <v>9</v>
      </c>
      <c r="J4" s="16" t="s">
        <v>10</v>
      </c>
      <c r="K4" s="11"/>
      <c r="L4" s="11"/>
      <c r="M4" s="11"/>
      <c r="N4" s="11"/>
      <c r="O4" s="14"/>
    </row>
    <row r="5">
      <c r="A5" s="10"/>
      <c r="B5" s="11"/>
      <c r="C5" s="11"/>
      <c r="D5" s="11"/>
      <c r="E5" s="11"/>
      <c r="F5" s="11"/>
      <c r="G5" s="11"/>
      <c r="H5" s="13"/>
      <c r="I5" s="11"/>
      <c r="J5" s="11"/>
      <c r="K5" s="11"/>
      <c r="L5" s="11"/>
      <c r="M5" s="11"/>
      <c r="N5" s="11"/>
      <c r="O5" s="14"/>
    </row>
    <row r="6">
      <c r="A6" s="15" t="s">
        <v>11</v>
      </c>
      <c r="B6" s="11"/>
      <c r="C6" s="11"/>
      <c r="D6" s="16" t="s">
        <v>12</v>
      </c>
      <c r="E6" s="11"/>
      <c r="F6" s="11" t="s">
        <v>13</v>
      </c>
      <c r="G6" s="11"/>
      <c r="H6" s="13" t="s">
        <v>4</v>
      </c>
      <c r="I6" s="16" t="s">
        <v>14</v>
      </c>
      <c r="J6" s="17" t="s">
        <v>15</v>
      </c>
      <c r="K6" s="13"/>
      <c r="L6" s="13"/>
      <c r="M6" s="13"/>
      <c r="N6" s="13"/>
      <c r="O6" s="18"/>
    </row>
    <row r="7">
      <c r="A7" s="10"/>
      <c r="B7" s="11"/>
      <c r="C7" s="11"/>
      <c r="D7" s="11"/>
      <c r="E7" s="11"/>
      <c r="F7" s="11"/>
      <c r="G7" s="11"/>
      <c r="H7" s="13"/>
      <c r="I7" s="11"/>
      <c r="J7" s="13"/>
      <c r="K7" s="13"/>
      <c r="L7" s="13"/>
      <c r="M7" s="13"/>
      <c r="N7" s="13"/>
      <c r="O7" s="18"/>
    </row>
    <row r="8">
      <c r="A8" s="15" t="s">
        <v>16</v>
      </c>
      <c r="B8" s="11"/>
      <c r="C8" s="11"/>
      <c r="D8" s="16" t="s">
        <v>4</v>
      </c>
      <c r="E8" s="11"/>
      <c r="F8" s="11" t="s">
        <v>17</v>
      </c>
      <c r="G8" s="11"/>
      <c r="H8" s="13" t="s">
        <v>18</v>
      </c>
      <c r="I8" s="16" t="s">
        <v>19</v>
      </c>
      <c r="J8" s="17" t="s">
        <v>20</v>
      </c>
      <c r="K8" s="13"/>
      <c r="L8" s="13"/>
      <c r="M8" s="13"/>
      <c r="N8" s="13"/>
      <c r="O8" s="18"/>
    </row>
    <row r="9">
      <c r="A9" s="19"/>
      <c r="B9" s="20"/>
      <c r="C9" s="20"/>
      <c r="D9" s="20"/>
      <c r="E9" s="20"/>
      <c r="F9" s="20"/>
      <c r="G9" s="20"/>
      <c r="H9" s="21"/>
      <c r="I9" s="20"/>
      <c r="J9" s="21"/>
      <c r="K9" s="21"/>
      <c r="L9" s="21"/>
      <c r="M9" s="21"/>
      <c r="N9" s="21"/>
      <c r="O9" s="22"/>
    </row>
    <row r="10">
      <c r="A10" s="23" t="s">
        <v>21</v>
      </c>
      <c r="B10" s="24" t="s">
        <v>22</v>
      </c>
      <c r="C10" s="24" t="s">
        <v>23</v>
      </c>
      <c r="D10" s="25" t="s">
        <v>24</v>
      </c>
      <c r="E10" s="26"/>
      <c r="F10" s="24" t="s">
        <v>25</v>
      </c>
      <c r="G10" s="27" t="s">
        <v>26</v>
      </c>
      <c r="H10" s="28" t="s">
        <v>27</v>
      </c>
      <c r="I10" s="29" t="s">
        <v>28</v>
      </c>
      <c r="J10" s="30"/>
      <c r="K10" s="31"/>
      <c r="L10" s="32" t="s">
        <v>29</v>
      </c>
      <c r="M10" s="30"/>
      <c r="N10" s="33"/>
      <c r="O10" s="34" t="s">
        <v>30</v>
      </c>
      <c r="BK10" s="35" t="s">
        <v>31</v>
      </c>
      <c r="BL10" s="36" t="s">
        <v>32</v>
      </c>
      <c r="BW10" s="36" t="s">
        <v>33</v>
      </c>
    </row>
    <row r="11">
      <c r="A11" s="37" t="s">
        <v>4</v>
      </c>
      <c r="B11" s="38" t="s">
        <v>4</v>
      </c>
      <c r="C11" s="38" t="s">
        <v>4</v>
      </c>
      <c r="D11" s="39" t="s">
        <v>34</v>
      </c>
      <c r="E11" s="40"/>
      <c r="F11" s="38" t="s">
        <v>4</v>
      </c>
      <c r="G11" s="38" t="s">
        <v>4</v>
      </c>
      <c r="H11" s="41" t="s">
        <v>35</v>
      </c>
      <c r="I11" s="42" t="s">
        <v>36</v>
      </c>
      <c r="J11" s="43" t="s">
        <v>37</v>
      </c>
      <c r="K11" s="44" t="s">
        <v>38</v>
      </c>
      <c r="L11" s="45" t="s">
        <v>39</v>
      </c>
      <c r="M11" s="43" t="s">
        <v>40</v>
      </c>
      <c r="N11" s="46" t="s">
        <v>38</v>
      </c>
      <c r="O11" s="47" t="s">
        <v>41</v>
      </c>
      <c r="Z11" s="35" t="s">
        <v>42</v>
      </c>
      <c r="AA11" s="35" t="s">
        <v>43</v>
      </c>
      <c r="AB11" s="35" t="s">
        <v>44</v>
      </c>
      <c r="AC11" s="35" t="s">
        <v>45</v>
      </c>
      <c r="AD11" s="35" t="s">
        <v>46</v>
      </c>
      <c r="AE11" s="35" t="s">
        <v>47</v>
      </c>
      <c r="AF11" s="35" t="s">
        <v>48</v>
      </c>
      <c r="AG11" s="35" t="s">
        <v>49</v>
      </c>
      <c r="AH11" s="35" t="s">
        <v>50</v>
      </c>
      <c r="BH11" s="35" t="s">
        <v>51</v>
      </c>
      <c r="BI11" s="35" t="s">
        <v>52</v>
      </c>
      <c r="BJ11" s="35" t="s">
        <v>53</v>
      </c>
    </row>
    <row r="12">
      <c r="A12" s="48" t="s">
        <v>54</v>
      </c>
      <c r="B12" s="49" t="s">
        <v>55</v>
      </c>
      <c r="C12" s="49" t="s">
        <v>54</v>
      </c>
      <c r="D12" s="50" t="s">
        <v>56</v>
      </c>
      <c r="E12" s="49"/>
      <c r="F12" s="51" t="s">
        <v>4</v>
      </c>
      <c r="G12" s="51" t="s">
        <v>4</v>
      </c>
      <c r="H12" s="52" t="s">
        <v>4</v>
      </c>
      <c r="I12" s="53">
        <f>I13+I18+I24+I28+I40+I44+I49+I54+I57+I72+I93+I98+I121+I133+I141+I149+I160+I165+I167+I171+I177+I188+I201+I220+I239+I242+I254</f>
      </c>
      <c r="J12" s="53">
        <f>J13+J18+J24+J28+J40+J44+J49+J54+J57+J72+J93+J98+J121+J133+J141+J149+J160+J165+J167+J171+J177+J188+J201+J220+J239+J242+J254</f>
      </c>
      <c r="K12" s="53">
        <f>K13+K18+K24+K28+K40+K44+K49+K54+K57+K72+K93+K98+K121+K133+K141+K149+K160+K165+K167+K171+K177+K188+K201+K220+K239+K242+K254</f>
      </c>
      <c r="L12" s="54" t="s">
        <v>54</v>
      </c>
      <c r="M12" s="54" t="s">
        <v>54</v>
      </c>
      <c r="N12" s="53">
        <f>N13+N18+N24+N28+N40+N44+N49+N54+N57+N72+N93+N98+N121+N133+N141+N149+N160+N165+N167+N171+N177+N188+N201+N220+N239+N242+N254</f>
      </c>
      <c r="O12" s="55" t="s">
        <v>54</v>
      </c>
    </row>
    <row r="13">
      <c r="A13" s="56" t="s">
        <v>54</v>
      </c>
      <c r="B13" s="57" t="s">
        <v>55</v>
      </c>
      <c r="C13" s="57" t="s">
        <v>57</v>
      </c>
      <c r="D13" s="58" t="s">
        <v>58</v>
      </c>
      <c r="E13" s="57"/>
      <c r="F13" s="59" t="s">
        <v>4</v>
      </c>
      <c r="G13" s="59" t="s">
        <v>4</v>
      </c>
      <c r="H13" s="60" t="s">
        <v>4</v>
      </c>
      <c r="I13" s="2">
        <f>SUM(I14:I14)</f>
      </c>
      <c r="J13" s="2">
        <f>SUM(J14:J14)</f>
      </c>
      <c r="K13" s="2">
        <f>SUM(K14:K14)</f>
      </c>
      <c r="L13" s="35" t="s">
        <v>54</v>
      </c>
      <c r="M13" s="35" t="s">
        <v>54</v>
      </c>
      <c r="N13" s="2">
        <f>SUM(N14:N14)</f>
      </c>
      <c r="O13" s="61" t="s">
        <v>54</v>
      </c>
      <c r="AI13" s="35" t="s">
        <v>55</v>
      </c>
      <c r="AS13" s="2">
        <f>SUM(AJ14:AJ14)</f>
      </c>
      <c r="AT13" s="2">
        <f>SUM(AK14:AK14)</f>
      </c>
      <c r="AU13" s="2">
        <f>SUM(AL14:AL14)</f>
      </c>
    </row>
    <row r="14">
      <c r="A14" s="10" t="s">
        <v>59</v>
      </c>
      <c r="B14" s="11" t="s">
        <v>55</v>
      </c>
      <c r="C14" s="11" t="s">
        <v>60</v>
      </c>
      <c r="D14" s="16" t="s">
        <v>61</v>
      </c>
      <c r="E14" s="11"/>
      <c r="F14" s="11" t="s">
        <v>62</v>
      </c>
      <c r="G14" s="62" t="n">
        <v>18</v>
      </c>
      <c r="H14" s="63" t="n">
        <v>0</v>
      </c>
      <c r="I14" s="62">
        <f>ROUND(G14*AO14,2)</f>
      </c>
      <c r="J14" s="62">
        <f>ROUND(G14*AP14,2)</f>
      </c>
      <c r="K14" s="62">
        <f>ROUND(G14*H14,2)</f>
      </c>
      <c r="L14" s="62" t="n">
        <v>0</v>
      </c>
      <c r="M14" s="62" t="n">
        <v>0.24</v>
      </c>
      <c r="N14" s="62">
        <f>G14*M14</f>
      </c>
      <c r="O14" s="64" t="s">
        <v>63</v>
      </c>
      <c r="Z14" s="62">
        <f>ROUND(IF(AQ14="5",BJ14,0),2)</f>
      </c>
      <c r="AB14" s="62">
        <f>ROUND(IF(AQ14="1",BH14,0),2)</f>
      </c>
      <c r="AC14" s="62">
        <f>ROUND(IF(AQ14="1",BI14,0),2)</f>
      </c>
      <c r="AD14" s="62">
        <f>ROUND(IF(AQ14="7",BH14,0),2)</f>
      </c>
      <c r="AE14" s="62">
        <f>ROUND(IF(AQ14="7",BI14,0),2)</f>
      </c>
      <c r="AF14" s="62">
        <f>ROUND(IF(AQ14="2",BH14,0),2)</f>
      </c>
      <c r="AG14" s="62">
        <f>ROUND(IF(AQ14="2",BI14,0),2)</f>
      </c>
      <c r="AH14" s="62">
        <f>ROUND(IF(AQ14="0",BJ14,0),2)</f>
      </c>
      <c r="AI14" s="35" t="s">
        <v>55</v>
      </c>
      <c r="AJ14" s="62">
        <f>IF(AN14=0,K14,0)</f>
      </c>
      <c r="AK14" s="62">
        <f>IF(AN14=12,K14,0)</f>
      </c>
      <c r="AL14" s="62">
        <f>IF(AN14=21,K14,0)</f>
      </c>
      <c r="AN14" s="62" t="n">
        <v>21</v>
      </c>
      <c r="AO14" s="62">
        <f>H14*0</f>
      </c>
      <c r="AP14" s="62">
        <f>H14*(1-0)</f>
      </c>
      <c r="AQ14" s="65" t="s">
        <v>59</v>
      </c>
      <c r="AV14" s="62">
        <f>ROUND(AW14+AX14,2)</f>
      </c>
      <c r="AW14" s="62">
        <f>ROUND(G14*AO14,2)</f>
      </c>
      <c r="AX14" s="62">
        <f>ROUND(G14*AP14,2)</f>
      </c>
      <c r="AY14" s="65" t="s">
        <v>64</v>
      </c>
      <c r="AZ14" s="65" t="s">
        <v>65</v>
      </c>
      <c r="BA14" s="35" t="s">
        <v>66</v>
      </c>
      <c r="BC14" s="62">
        <f>AW14+AX14</f>
      </c>
      <c r="BD14" s="62">
        <f>H14/(100-BE14)*100</f>
      </c>
      <c r="BE14" s="62" t="n">
        <v>0</v>
      </c>
      <c r="BF14" s="62">
        <f>N14</f>
      </c>
      <c r="BH14" s="62">
        <f>G14*AO14</f>
      </c>
      <c r="BI14" s="62">
        <f>G14*AP14</f>
      </c>
      <c r="BJ14" s="62">
        <f>G14*H14</f>
      </c>
      <c r="BK14" s="65" t="s">
        <v>67</v>
      </c>
      <c r="BL14" s="62" t="n">
        <v>11</v>
      </c>
      <c r="BW14" s="62" t="n">
        <v>21</v>
      </c>
      <c r="BX14" s="16" t="s">
        <v>61</v>
      </c>
    </row>
    <row r="15" customHeight="true" ht="13.5">
      <c r="A15" s="66"/>
      <c r="C15" s="67" t="s">
        <v>68</v>
      </c>
      <c r="D15" s="68" t="s">
        <v>69</v>
      </c>
      <c r="E15" s="69"/>
      <c r="F15" s="69"/>
      <c r="G15" s="69"/>
      <c r="H15" s="70"/>
      <c r="I15" s="69"/>
      <c r="J15" s="69"/>
      <c r="K15" s="69"/>
      <c r="L15" s="69"/>
      <c r="M15" s="69"/>
      <c r="N15" s="69"/>
      <c r="O15" s="71"/>
    </row>
    <row r="16">
      <c r="A16" s="66"/>
      <c r="D16" s="72" t="s">
        <v>70</v>
      </c>
      <c r="E16" s="73" t="s">
        <v>54</v>
      </c>
      <c r="G16" s="74" t="n">
        <v>18</v>
      </c>
      <c r="O16" s="75"/>
    </row>
    <row r="17" customHeight="true" ht="13.5">
      <c r="A17" s="66"/>
      <c r="C17" s="76" t="s">
        <v>71</v>
      </c>
      <c r="D17" s="77" t="s">
        <v>72</v>
      </c>
      <c r="E17" s="78"/>
      <c r="F17" s="78"/>
      <c r="G17" s="78"/>
      <c r="H17" s="79"/>
      <c r="I17" s="78"/>
      <c r="J17" s="78"/>
      <c r="K17" s="78"/>
      <c r="L17" s="78"/>
      <c r="M17" s="78"/>
      <c r="N17" s="78"/>
      <c r="O17" s="80"/>
    </row>
    <row r="18">
      <c r="A18" s="56" t="s">
        <v>54</v>
      </c>
      <c r="B18" s="57" t="s">
        <v>55</v>
      </c>
      <c r="C18" s="57" t="s">
        <v>73</v>
      </c>
      <c r="D18" s="58" t="s">
        <v>74</v>
      </c>
      <c r="E18" s="57"/>
      <c r="F18" s="59" t="s">
        <v>4</v>
      </c>
      <c r="G18" s="59" t="s">
        <v>4</v>
      </c>
      <c r="H18" s="60" t="s">
        <v>4</v>
      </c>
      <c r="I18" s="2">
        <f>SUM(I19:I23)</f>
      </c>
      <c r="J18" s="2">
        <f>SUM(J19:J23)</f>
      </c>
      <c r="K18" s="2">
        <f>SUM(K19:K23)</f>
      </c>
      <c r="L18" s="35" t="s">
        <v>54</v>
      </c>
      <c r="M18" s="35" t="s">
        <v>54</v>
      </c>
      <c r="N18" s="2">
        <f>SUM(N19:N23)</f>
      </c>
      <c r="O18" s="61" t="s">
        <v>54</v>
      </c>
      <c r="AI18" s="35" t="s">
        <v>55</v>
      </c>
      <c r="AS18" s="2">
        <f>SUM(AJ19:AJ23)</f>
      </c>
      <c r="AT18" s="2">
        <f>SUM(AK19:AK23)</f>
      </c>
      <c r="AU18" s="2">
        <f>SUM(AL19:AL23)</f>
      </c>
    </row>
    <row r="19">
      <c r="A19" s="10" t="s">
        <v>75</v>
      </c>
      <c r="B19" s="11" t="s">
        <v>55</v>
      </c>
      <c r="C19" s="11" t="s">
        <v>76</v>
      </c>
      <c r="D19" s="16" t="s">
        <v>77</v>
      </c>
      <c r="E19" s="11"/>
      <c r="F19" s="11" t="s">
        <v>78</v>
      </c>
      <c r="G19" s="62" t="n">
        <v>1.8</v>
      </c>
      <c r="H19" s="63" t="n">
        <v>0</v>
      </c>
      <c r="I19" s="62">
        <f>ROUND(G19*AO19,2)</f>
      </c>
      <c r="J19" s="62">
        <f>ROUND(G19*AP19,2)</f>
      </c>
      <c r="K19" s="62">
        <f>ROUND(G19*H19,2)</f>
      </c>
      <c r="L19" s="62" t="n">
        <v>0</v>
      </c>
      <c r="M19" s="62" t="n">
        <v>0</v>
      </c>
      <c r="N19" s="62">
        <f>G19*M19</f>
      </c>
      <c r="O19" s="64" t="s">
        <v>63</v>
      </c>
      <c r="Z19" s="62">
        <f>ROUND(IF(AQ19="5",BJ19,0),2)</f>
      </c>
      <c r="AB19" s="62">
        <f>ROUND(IF(AQ19="1",BH19,0),2)</f>
      </c>
      <c r="AC19" s="62">
        <f>ROUND(IF(AQ19="1",BI19,0),2)</f>
      </c>
      <c r="AD19" s="62">
        <f>ROUND(IF(AQ19="7",BH19,0),2)</f>
      </c>
      <c r="AE19" s="62">
        <f>ROUND(IF(AQ19="7",BI19,0),2)</f>
      </c>
      <c r="AF19" s="62">
        <f>ROUND(IF(AQ19="2",BH19,0),2)</f>
      </c>
      <c r="AG19" s="62">
        <f>ROUND(IF(AQ19="2",BI19,0),2)</f>
      </c>
      <c r="AH19" s="62">
        <f>ROUND(IF(AQ19="0",BJ19,0),2)</f>
      </c>
      <c r="AI19" s="35" t="s">
        <v>55</v>
      </c>
      <c r="AJ19" s="62">
        <f>IF(AN19=0,K19,0)</f>
      </c>
      <c r="AK19" s="62">
        <f>IF(AN19=12,K19,0)</f>
      </c>
      <c r="AL19" s="62">
        <f>IF(AN19=21,K19,0)</f>
      </c>
      <c r="AN19" s="62" t="n">
        <v>21</v>
      </c>
      <c r="AO19" s="62">
        <f>H19*0</f>
      </c>
      <c r="AP19" s="62">
        <f>H19*(1-0)</f>
      </c>
      <c r="AQ19" s="65" t="s">
        <v>59</v>
      </c>
      <c r="AV19" s="62">
        <f>ROUND(AW19+AX19,2)</f>
      </c>
      <c r="AW19" s="62">
        <f>ROUND(G19*AO19,2)</f>
      </c>
      <c r="AX19" s="62">
        <f>ROUND(G19*AP19,2)</f>
      </c>
      <c r="AY19" s="65" t="s">
        <v>79</v>
      </c>
      <c r="AZ19" s="65" t="s">
        <v>65</v>
      </c>
      <c r="BA19" s="35" t="s">
        <v>66</v>
      </c>
      <c r="BC19" s="62">
        <f>AW19+AX19</f>
      </c>
      <c r="BD19" s="62">
        <f>H19/(100-BE19)*100</f>
      </c>
      <c r="BE19" s="62" t="n">
        <v>0</v>
      </c>
      <c r="BF19" s="62">
        <f>N19</f>
      </c>
      <c r="BH19" s="62">
        <f>G19*AO19</f>
      </c>
      <c r="BI19" s="62">
        <f>G19*AP19</f>
      </c>
      <c r="BJ19" s="62">
        <f>G19*H19</f>
      </c>
      <c r="BK19" s="65" t="s">
        <v>67</v>
      </c>
      <c r="BL19" s="62" t="n">
        <v>13</v>
      </c>
      <c r="BW19" s="62" t="n">
        <v>21</v>
      </c>
      <c r="BX19" s="16" t="s">
        <v>77</v>
      </c>
    </row>
    <row r="20" customHeight="true" ht="13.5">
      <c r="A20" s="66"/>
      <c r="C20" s="67" t="s">
        <v>68</v>
      </c>
      <c r="D20" s="68" t="s">
        <v>80</v>
      </c>
      <c r="E20" s="69"/>
      <c r="F20" s="69"/>
      <c r="G20" s="69"/>
      <c r="H20" s="70"/>
      <c r="I20" s="69"/>
      <c r="J20" s="69"/>
      <c r="K20" s="69"/>
      <c r="L20" s="69"/>
      <c r="M20" s="69"/>
      <c r="N20" s="69"/>
      <c r="O20" s="71"/>
    </row>
    <row r="21">
      <c r="A21" s="66"/>
      <c r="D21" s="72" t="s">
        <v>81</v>
      </c>
      <c r="E21" s="73" t="s">
        <v>54</v>
      </c>
      <c r="G21" s="74" t="n">
        <v>1.8</v>
      </c>
      <c r="O21" s="75"/>
    </row>
    <row r="22">
      <c r="A22" s="10" t="s">
        <v>82</v>
      </c>
      <c r="B22" s="11" t="s">
        <v>55</v>
      </c>
      <c r="C22" s="11" t="s">
        <v>83</v>
      </c>
      <c r="D22" s="16" t="s">
        <v>84</v>
      </c>
      <c r="E22" s="11"/>
      <c r="F22" s="11" t="s">
        <v>78</v>
      </c>
      <c r="G22" s="62" t="n">
        <v>1.8</v>
      </c>
      <c r="H22" s="63" t="n">
        <v>0</v>
      </c>
      <c r="I22" s="62">
        <f>ROUND(G22*AO22,2)</f>
      </c>
      <c r="J22" s="62">
        <f>ROUND(G22*AP22,2)</f>
      </c>
      <c r="K22" s="62">
        <f>ROUND(G22*H22,2)</f>
      </c>
      <c r="L22" s="62" t="n">
        <v>0</v>
      </c>
      <c r="M22" s="62" t="n">
        <v>0</v>
      </c>
      <c r="N22" s="62">
        <f>G22*M22</f>
      </c>
      <c r="O22" s="64" t="s">
        <v>63</v>
      </c>
      <c r="Z22" s="62">
        <f>ROUND(IF(AQ22="5",BJ22,0),2)</f>
      </c>
      <c r="AB22" s="62">
        <f>ROUND(IF(AQ22="1",BH22,0),2)</f>
      </c>
      <c r="AC22" s="62">
        <f>ROUND(IF(AQ22="1",BI22,0),2)</f>
      </c>
      <c r="AD22" s="62">
        <f>ROUND(IF(AQ22="7",BH22,0),2)</f>
      </c>
      <c r="AE22" s="62">
        <f>ROUND(IF(AQ22="7",BI22,0),2)</f>
      </c>
      <c r="AF22" s="62">
        <f>ROUND(IF(AQ22="2",BH22,0),2)</f>
      </c>
      <c r="AG22" s="62">
        <f>ROUND(IF(AQ22="2",BI22,0),2)</f>
      </c>
      <c r="AH22" s="62">
        <f>ROUND(IF(AQ22="0",BJ22,0),2)</f>
      </c>
      <c r="AI22" s="35" t="s">
        <v>55</v>
      </c>
      <c r="AJ22" s="62">
        <f>IF(AN22=0,K22,0)</f>
      </c>
      <c r="AK22" s="62">
        <f>IF(AN22=12,K22,0)</f>
      </c>
      <c r="AL22" s="62">
        <f>IF(AN22=21,K22,0)</f>
      </c>
      <c r="AN22" s="62" t="n">
        <v>21</v>
      </c>
      <c r="AO22" s="62">
        <f>H22*0</f>
      </c>
      <c r="AP22" s="62">
        <f>H22*(1-0)</f>
      </c>
      <c r="AQ22" s="65" t="s">
        <v>59</v>
      </c>
      <c r="AV22" s="62">
        <f>ROUND(AW22+AX22,2)</f>
      </c>
      <c r="AW22" s="62">
        <f>ROUND(G22*AO22,2)</f>
      </c>
      <c r="AX22" s="62">
        <f>ROUND(G22*AP22,2)</f>
      </c>
      <c r="AY22" s="65" t="s">
        <v>79</v>
      </c>
      <c r="AZ22" s="65" t="s">
        <v>65</v>
      </c>
      <c r="BA22" s="35" t="s">
        <v>66</v>
      </c>
      <c r="BC22" s="62">
        <f>AW22+AX22</f>
      </c>
      <c r="BD22" s="62">
        <f>H22/(100-BE22)*100</f>
      </c>
      <c r="BE22" s="62" t="n">
        <v>0</v>
      </c>
      <c r="BF22" s="62">
        <f>N22</f>
      </c>
      <c r="BH22" s="62">
        <f>G22*AO22</f>
      </c>
      <c r="BI22" s="62">
        <f>G22*AP22</f>
      </c>
      <c r="BJ22" s="62">
        <f>G22*H22</f>
      </c>
      <c r="BK22" s="65" t="s">
        <v>67</v>
      </c>
      <c r="BL22" s="62" t="n">
        <v>13</v>
      </c>
      <c r="BW22" s="62" t="n">
        <v>21</v>
      </c>
      <c r="BX22" s="16" t="s">
        <v>84</v>
      </c>
    </row>
    <row r="23">
      <c r="A23" s="10" t="s">
        <v>85</v>
      </c>
      <c r="B23" s="11" t="s">
        <v>55</v>
      </c>
      <c r="C23" s="11" t="s">
        <v>86</v>
      </c>
      <c r="D23" s="16" t="s">
        <v>87</v>
      </c>
      <c r="E23" s="11"/>
      <c r="F23" s="11" t="s">
        <v>78</v>
      </c>
      <c r="G23" s="62" t="n">
        <v>1.8</v>
      </c>
      <c r="H23" s="63" t="n">
        <v>0</v>
      </c>
      <c r="I23" s="62">
        <f>ROUND(G23*AO23,2)</f>
      </c>
      <c r="J23" s="62">
        <f>ROUND(G23*AP23,2)</f>
      </c>
      <c r="K23" s="62">
        <f>ROUND(G23*H23,2)</f>
      </c>
      <c r="L23" s="62" t="n">
        <v>0</v>
      </c>
      <c r="M23" s="62" t="n">
        <v>0</v>
      </c>
      <c r="N23" s="62">
        <f>G23*M23</f>
      </c>
      <c r="O23" s="64" t="s">
        <v>63</v>
      </c>
      <c r="Z23" s="62">
        <f>ROUND(IF(AQ23="5",BJ23,0),2)</f>
      </c>
      <c r="AB23" s="62">
        <f>ROUND(IF(AQ23="1",BH23,0),2)</f>
      </c>
      <c r="AC23" s="62">
        <f>ROUND(IF(AQ23="1",BI23,0),2)</f>
      </c>
      <c r="AD23" s="62">
        <f>ROUND(IF(AQ23="7",BH23,0),2)</f>
      </c>
      <c r="AE23" s="62">
        <f>ROUND(IF(AQ23="7",BI23,0),2)</f>
      </c>
      <c r="AF23" s="62">
        <f>ROUND(IF(AQ23="2",BH23,0),2)</f>
      </c>
      <c r="AG23" s="62">
        <f>ROUND(IF(AQ23="2",BI23,0),2)</f>
      </c>
      <c r="AH23" s="62">
        <f>ROUND(IF(AQ23="0",BJ23,0),2)</f>
      </c>
      <c r="AI23" s="35" t="s">
        <v>55</v>
      </c>
      <c r="AJ23" s="62">
        <f>IF(AN23=0,K23,0)</f>
      </c>
      <c r="AK23" s="62">
        <f>IF(AN23=12,K23,0)</f>
      </c>
      <c r="AL23" s="62">
        <f>IF(AN23=21,K23,0)</f>
      </c>
      <c r="AN23" s="62" t="n">
        <v>21</v>
      </c>
      <c r="AO23" s="62">
        <f>H23*0</f>
      </c>
      <c r="AP23" s="62">
        <f>H23*(1-0)</f>
      </c>
      <c r="AQ23" s="65" t="s">
        <v>59</v>
      </c>
      <c r="AV23" s="62">
        <f>ROUND(AW23+AX23,2)</f>
      </c>
      <c r="AW23" s="62">
        <f>ROUND(G23*AO23,2)</f>
      </c>
      <c r="AX23" s="62">
        <f>ROUND(G23*AP23,2)</f>
      </c>
      <c r="AY23" s="65" t="s">
        <v>79</v>
      </c>
      <c r="AZ23" s="65" t="s">
        <v>65</v>
      </c>
      <c r="BA23" s="35" t="s">
        <v>66</v>
      </c>
      <c r="BC23" s="62">
        <f>AW23+AX23</f>
      </c>
      <c r="BD23" s="62">
        <f>H23/(100-BE23)*100</f>
      </c>
      <c r="BE23" s="62" t="n">
        <v>0</v>
      </c>
      <c r="BF23" s="62">
        <f>N23</f>
      </c>
      <c r="BH23" s="62">
        <f>G23*AO23</f>
      </c>
      <c r="BI23" s="62">
        <f>G23*AP23</f>
      </c>
      <c r="BJ23" s="62">
        <f>G23*H23</f>
      </c>
      <c r="BK23" s="65" t="s">
        <v>67</v>
      </c>
      <c r="BL23" s="62" t="n">
        <v>13</v>
      </c>
      <c r="BW23" s="62" t="n">
        <v>21</v>
      </c>
      <c r="BX23" s="16" t="s">
        <v>87</v>
      </c>
    </row>
    <row r="24">
      <c r="A24" s="56" t="s">
        <v>54</v>
      </c>
      <c r="B24" s="57" t="s">
        <v>55</v>
      </c>
      <c r="C24" s="57" t="s">
        <v>88</v>
      </c>
      <c r="D24" s="58" t="s">
        <v>89</v>
      </c>
      <c r="E24" s="57"/>
      <c r="F24" s="59" t="s">
        <v>4</v>
      </c>
      <c r="G24" s="59" t="s">
        <v>4</v>
      </c>
      <c r="H24" s="60" t="s">
        <v>4</v>
      </c>
      <c r="I24" s="2">
        <f>SUM(I25:I27)</f>
      </c>
      <c r="J24" s="2">
        <f>SUM(J25:J27)</f>
      </c>
      <c r="K24" s="2">
        <f>SUM(K25:K27)</f>
      </c>
      <c r="L24" s="35" t="s">
        <v>54</v>
      </c>
      <c r="M24" s="35" t="s">
        <v>54</v>
      </c>
      <c r="N24" s="2">
        <f>SUM(N25:N27)</f>
      </c>
      <c r="O24" s="61" t="s">
        <v>54</v>
      </c>
      <c r="AI24" s="35" t="s">
        <v>55</v>
      </c>
      <c r="AS24" s="2">
        <f>SUM(AJ25:AJ27)</f>
      </c>
      <c r="AT24" s="2">
        <f>SUM(AK25:AK27)</f>
      </c>
      <c r="AU24" s="2">
        <f>SUM(AL25:AL27)</f>
      </c>
    </row>
    <row r="25">
      <c r="A25" s="10" t="s">
        <v>90</v>
      </c>
      <c r="B25" s="11" t="s">
        <v>55</v>
      </c>
      <c r="C25" s="11" t="s">
        <v>91</v>
      </c>
      <c r="D25" s="16" t="s">
        <v>92</v>
      </c>
      <c r="E25" s="11"/>
      <c r="F25" s="11" t="s">
        <v>78</v>
      </c>
      <c r="G25" s="62" t="n">
        <v>1.8</v>
      </c>
      <c r="H25" s="63" t="n">
        <v>0</v>
      </c>
      <c r="I25" s="62">
        <f>ROUND(G25*AO25,2)</f>
      </c>
      <c r="J25" s="62">
        <f>ROUND(G25*AP25,2)</f>
      </c>
      <c r="K25" s="62">
        <f>ROUND(G25*H25,2)</f>
      </c>
      <c r="L25" s="62" t="n">
        <v>0</v>
      </c>
      <c r="M25" s="62" t="n">
        <v>0</v>
      </c>
      <c r="N25" s="62">
        <f>G25*M25</f>
      </c>
      <c r="O25" s="64" t="s">
        <v>63</v>
      </c>
      <c r="Z25" s="62">
        <f>ROUND(IF(AQ25="5",BJ25,0),2)</f>
      </c>
      <c r="AB25" s="62">
        <f>ROUND(IF(AQ25="1",BH25,0),2)</f>
      </c>
      <c r="AC25" s="62">
        <f>ROUND(IF(AQ25="1",BI25,0),2)</f>
      </c>
      <c r="AD25" s="62">
        <f>ROUND(IF(AQ25="7",BH25,0),2)</f>
      </c>
      <c r="AE25" s="62">
        <f>ROUND(IF(AQ25="7",BI25,0),2)</f>
      </c>
      <c r="AF25" s="62">
        <f>ROUND(IF(AQ25="2",BH25,0),2)</f>
      </c>
      <c r="AG25" s="62">
        <f>ROUND(IF(AQ25="2",BI25,0),2)</f>
      </c>
      <c r="AH25" s="62">
        <f>ROUND(IF(AQ25="0",BJ25,0),2)</f>
      </c>
      <c r="AI25" s="35" t="s">
        <v>55</v>
      </c>
      <c r="AJ25" s="62">
        <f>IF(AN25=0,K25,0)</f>
      </c>
      <c r="AK25" s="62">
        <f>IF(AN25=12,K25,0)</f>
      </c>
      <c r="AL25" s="62">
        <f>IF(AN25=21,K25,0)</f>
      </c>
      <c r="AN25" s="62" t="n">
        <v>21</v>
      </c>
      <c r="AO25" s="62">
        <f>H25*0</f>
      </c>
      <c r="AP25" s="62">
        <f>H25*(1-0)</f>
      </c>
      <c r="AQ25" s="65" t="s">
        <v>59</v>
      </c>
      <c r="AV25" s="62">
        <f>ROUND(AW25+AX25,2)</f>
      </c>
      <c r="AW25" s="62">
        <f>ROUND(G25*AO25,2)</f>
      </c>
      <c r="AX25" s="62">
        <f>ROUND(G25*AP25,2)</f>
      </c>
      <c r="AY25" s="65" t="s">
        <v>93</v>
      </c>
      <c r="AZ25" s="65" t="s">
        <v>65</v>
      </c>
      <c r="BA25" s="35" t="s">
        <v>66</v>
      </c>
      <c r="BC25" s="62">
        <f>AW25+AX25</f>
      </c>
      <c r="BD25" s="62">
        <f>H25/(100-BE25)*100</f>
      </c>
      <c r="BE25" s="62" t="n">
        <v>0</v>
      </c>
      <c r="BF25" s="62">
        <f>N25</f>
      </c>
      <c r="BH25" s="62">
        <f>G25*AO25</f>
      </c>
      <c r="BI25" s="62">
        <f>G25*AP25</f>
      </c>
      <c r="BJ25" s="62">
        <f>G25*H25</f>
      </c>
      <c r="BK25" s="65" t="s">
        <v>67</v>
      </c>
      <c r="BL25" s="62" t="n">
        <v>17</v>
      </c>
      <c r="BW25" s="62" t="n">
        <v>21</v>
      </c>
      <c r="BX25" s="16" t="s">
        <v>92</v>
      </c>
    </row>
    <row r="26" customHeight="true" ht="13.5">
      <c r="A26" s="66"/>
      <c r="C26" s="67" t="s">
        <v>68</v>
      </c>
      <c r="D26" s="68" t="s">
        <v>94</v>
      </c>
      <c r="E26" s="69"/>
      <c r="F26" s="69"/>
      <c r="G26" s="69"/>
      <c r="H26" s="70"/>
      <c r="I26" s="69"/>
      <c r="J26" s="69"/>
      <c r="K26" s="69"/>
      <c r="L26" s="69"/>
      <c r="M26" s="69"/>
      <c r="N26" s="69"/>
      <c r="O26" s="71"/>
    </row>
    <row r="27">
      <c r="A27" s="10" t="s">
        <v>95</v>
      </c>
      <c r="B27" s="11" t="s">
        <v>55</v>
      </c>
      <c r="C27" s="11" t="s">
        <v>96</v>
      </c>
      <c r="D27" s="16" t="s">
        <v>97</v>
      </c>
      <c r="E27" s="11"/>
      <c r="F27" s="11" t="s">
        <v>78</v>
      </c>
      <c r="G27" s="62" t="n">
        <v>1.8</v>
      </c>
      <c r="H27" s="63" t="n">
        <v>0</v>
      </c>
      <c r="I27" s="62">
        <f>ROUND(G27*AO27,2)</f>
      </c>
      <c r="J27" s="62">
        <f>ROUND(G27*AP27,2)</f>
      </c>
      <c r="K27" s="62">
        <f>ROUND(G27*H27,2)</f>
      </c>
      <c r="L27" s="62" t="n">
        <v>0</v>
      </c>
      <c r="M27" s="62" t="n">
        <v>0</v>
      </c>
      <c r="N27" s="62">
        <f>G27*M27</f>
      </c>
      <c r="O27" s="64" t="s">
        <v>63</v>
      </c>
      <c r="Z27" s="62">
        <f>ROUND(IF(AQ27="5",BJ27,0),2)</f>
      </c>
      <c r="AB27" s="62">
        <f>ROUND(IF(AQ27="1",BH27,0),2)</f>
      </c>
      <c r="AC27" s="62">
        <f>ROUND(IF(AQ27="1",BI27,0),2)</f>
      </c>
      <c r="AD27" s="62">
        <f>ROUND(IF(AQ27="7",BH27,0),2)</f>
      </c>
      <c r="AE27" s="62">
        <f>ROUND(IF(AQ27="7",BI27,0),2)</f>
      </c>
      <c r="AF27" s="62">
        <f>ROUND(IF(AQ27="2",BH27,0),2)</f>
      </c>
      <c r="AG27" s="62">
        <f>ROUND(IF(AQ27="2",BI27,0),2)</f>
      </c>
      <c r="AH27" s="62">
        <f>ROUND(IF(AQ27="0",BJ27,0),2)</f>
      </c>
      <c r="AI27" s="35" t="s">
        <v>55</v>
      </c>
      <c r="AJ27" s="62">
        <f>IF(AN27=0,K27,0)</f>
      </c>
      <c r="AK27" s="62">
        <f>IF(AN27=12,K27,0)</f>
      </c>
      <c r="AL27" s="62">
        <f>IF(AN27=21,K27,0)</f>
      </c>
      <c r="AN27" s="62" t="n">
        <v>21</v>
      </c>
      <c r="AO27" s="62">
        <f>H27*0</f>
      </c>
      <c r="AP27" s="62">
        <f>H27*(1-0)</f>
      </c>
      <c r="AQ27" s="65" t="s">
        <v>59</v>
      </c>
      <c r="AV27" s="62">
        <f>ROUND(AW27+AX27,2)</f>
      </c>
      <c r="AW27" s="62">
        <f>ROUND(G27*AO27,2)</f>
      </c>
      <c r="AX27" s="62">
        <f>ROUND(G27*AP27,2)</f>
      </c>
      <c r="AY27" s="65" t="s">
        <v>93</v>
      </c>
      <c r="AZ27" s="65" t="s">
        <v>65</v>
      </c>
      <c r="BA27" s="35" t="s">
        <v>66</v>
      </c>
      <c r="BC27" s="62">
        <f>AW27+AX27</f>
      </c>
      <c r="BD27" s="62">
        <f>H27/(100-BE27)*100</f>
      </c>
      <c r="BE27" s="62" t="n">
        <v>0</v>
      </c>
      <c r="BF27" s="62">
        <f>N27</f>
      </c>
      <c r="BH27" s="62">
        <f>G27*AO27</f>
      </c>
      <c r="BI27" s="62">
        <f>G27*AP27</f>
      </c>
      <c r="BJ27" s="62">
        <f>G27*H27</f>
      </c>
      <c r="BK27" s="65" t="s">
        <v>67</v>
      </c>
      <c r="BL27" s="62" t="n">
        <v>17</v>
      </c>
      <c r="BW27" s="62" t="n">
        <v>21</v>
      </c>
      <c r="BX27" s="16" t="s">
        <v>97</v>
      </c>
    </row>
    <row r="28">
      <c r="A28" s="56" t="s">
        <v>54</v>
      </c>
      <c r="B28" s="57" t="s">
        <v>55</v>
      </c>
      <c r="C28" s="57" t="s">
        <v>98</v>
      </c>
      <c r="D28" s="58" t="s">
        <v>99</v>
      </c>
      <c r="E28" s="57"/>
      <c r="F28" s="59" t="s">
        <v>4</v>
      </c>
      <c r="G28" s="59" t="s">
        <v>4</v>
      </c>
      <c r="H28" s="60" t="s">
        <v>4</v>
      </c>
      <c r="I28" s="2">
        <f>SUM(I29:I36)</f>
      </c>
      <c r="J28" s="2">
        <f>SUM(J29:J36)</f>
      </c>
      <c r="K28" s="2">
        <f>SUM(K29:K36)</f>
      </c>
      <c r="L28" s="35" t="s">
        <v>54</v>
      </c>
      <c r="M28" s="35" t="s">
        <v>54</v>
      </c>
      <c r="N28" s="2">
        <f>SUM(N29:N36)</f>
      </c>
      <c r="O28" s="61" t="s">
        <v>54</v>
      </c>
      <c r="AI28" s="35" t="s">
        <v>55</v>
      </c>
      <c r="AS28" s="2">
        <f>SUM(AJ29:AJ36)</f>
      </c>
      <c r="AT28" s="2">
        <f>SUM(AK29:AK36)</f>
      </c>
      <c r="AU28" s="2">
        <f>SUM(AL29:AL36)</f>
      </c>
    </row>
    <row r="29">
      <c r="A29" s="10" t="s">
        <v>100</v>
      </c>
      <c r="B29" s="11" t="s">
        <v>55</v>
      </c>
      <c r="C29" s="11" t="s">
        <v>101</v>
      </c>
      <c r="D29" s="16" t="s">
        <v>102</v>
      </c>
      <c r="E29" s="11"/>
      <c r="F29" s="11" t="s">
        <v>103</v>
      </c>
      <c r="G29" s="62" t="n">
        <v>10</v>
      </c>
      <c r="H29" s="63" t="n">
        <v>0</v>
      </c>
      <c r="I29" s="62">
        <f>ROUND(G29*AO29,2)</f>
      </c>
      <c r="J29" s="62">
        <f>ROUND(G29*AP29,2)</f>
      </c>
      <c r="K29" s="62">
        <f>ROUND(G29*H29,2)</f>
      </c>
      <c r="L29" s="62" t="n">
        <v>0.01244</v>
      </c>
      <c r="M29" s="62" t="n">
        <v>0.01244</v>
      </c>
      <c r="N29" s="62">
        <f>G29*M29</f>
      </c>
      <c r="O29" s="64" t="s">
        <v>63</v>
      </c>
      <c r="Z29" s="62">
        <f>ROUND(IF(AQ29="5",BJ29,0),2)</f>
      </c>
      <c r="AB29" s="62">
        <f>ROUND(IF(AQ29="1",BH29,0),2)</f>
      </c>
      <c r="AC29" s="62">
        <f>ROUND(IF(AQ29="1",BI29,0),2)</f>
      </c>
      <c r="AD29" s="62">
        <f>ROUND(IF(AQ29="7",BH29,0),2)</f>
      </c>
      <c r="AE29" s="62">
        <f>ROUND(IF(AQ29="7",BI29,0),2)</f>
      </c>
      <c r="AF29" s="62">
        <f>ROUND(IF(AQ29="2",BH29,0),2)</f>
      </c>
      <c r="AG29" s="62">
        <f>ROUND(IF(AQ29="2",BI29,0),2)</f>
      </c>
      <c r="AH29" s="62">
        <f>ROUND(IF(AQ29="0",BJ29,0),2)</f>
      </c>
      <c r="AI29" s="35" t="s">
        <v>55</v>
      </c>
      <c r="AJ29" s="62">
        <f>IF(AN29=0,K29,0)</f>
      </c>
      <c r="AK29" s="62">
        <f>IF(AN29=12,K29,0)</f>
      </c>
      <c r="AL29" s="62">
        <f>IF(AN29=21,K29,0)</f>
      </c>
      <c r="AN29" s="62" t="n">
        <v>21</v>
      </c>
      <c r="AO29" s="62">
        <f>H29*0.268946237</f>
      </c>
      <c r="AP29" s="62">
        <f>H29*(1-0.268946237)</f>
      </c>
      <c r="AQ29" s="65" t="s">
        <v>59</v>
      </c>
      <c r="AV29" s="62">
        <f>ROUND(AW29+AX29,2)</f>
      </c>
      <c r="AW29" s="62">
        <f>ROUND(G29*AO29,2)</f>
      </c>
      <c r="AX29" s="62">
        <f>ROUND(G29*AP29,2)</f>
      </c>
      <c r="AY29" s="65" t="s">
        <v>104</v>
      </c>
      <c r="AZ29" s="65" t="s">
        <v>105</v>
      </c>
      <c r="BA29" s="35" t="s">
        <v>66</v>
      </c>
      <c r="BC29" s="62">
        <f>AW29+AX29</f>
      </c>
      <c r="BD29" s="62">
        <f>H29/(100-BE29)*100</f>
      </c>
      <c r="BE29" s="62" t="n">
        <v>0</v>
      </c>
      <c r="BF29" s="62">
        <f>N29</f>
      </c>
      <c r="BH29" s="62">
        <f>G29*AO29</f>
      </c>
      <c r="BI29" s="62">
        <f>G29*AP29</f>
      </c>
      <c r="BJ29" s="62">
        <f>G29*H29</f>
      </c>
      <c r="BK29" s="65" t="s">
        <v>67</v>
      </c>
      <c r="BL29" s="62" t="n">
        <v>34</v>
      </c>
      <c r="BW29" s="62" t="n">
        <v>21</v>
      </c>
      <c r="BX29" s="16" t="s">
        <v>102</v>
      </c>
    </row>
    <row r="30" customHeight="true" ht="13.5">
      <c r="A30" s="66"/>
      <c r="C30" s="67" t="s">
        <v>68</v>
      </c>
      <c r="D30" s="68" t="s">
        <v>106</v>
      </c>
      <c r="E30" s="69"/>
      <c r="F30" s="69"/>
      <c r="G30" s="69"/>
      <c r="H30" s="70"/>
      <c r="I30" s="69"/>
      <c r="J30" s="69"/>
      <c r="K30" s="69"/>
      <c r="L30" s="69"/>
      <c r="M30" s="69"/>
      <c r="N30" s="69"/>
      <c r="O30" s="71"/>
    </row>
    <row r="31">
      <c r="A31" s="10" t="s">
        <v>107</v>
      </c>
      <c r="B31" s="11" t="s">
        <v>55</v>
      </c>
      <c r="C31" s="11" t="s">
        <v>108</v>
      </c>
      <c r="D31" s="16" t="s">
        <v>109</v>
      </c>
      <c r="E31" s="11"/>
      <c r="F31" s="11" t="s">
        <v>103</v>
      </c>
      <c r="G31" s="62" t="n">
        <v>4</v>
      </c>
      <c r="H31" s="63" t="n">
        <v>0</v>
      </c>
      <c r="I31" s="62">
        <f>ROUND(G31*AO31,2)</f>
      </c>
      <c r="J31" s="62">
        <f>ROUND(G31*AP31,2)</f>
      </c>
      <c r="K31" s="62">
        <f>ROUND(G31*H31,2)</f>
      </c>
      <c r="L31" s="62" t="n">
        <v>0.04643</v>
      </c>
      <c r="M31" s="62" t="n">
        <v>0.04643</v>
      </c>
      <c r="N31" s="62">
        <f>G31*M31</f>
      </c>
      <c r="O31" s="64" t="s">
        <v>63</v>
      </c>
      <c r="Z31" s="62">
        <f>ROUND(IF(AQ31="5",BJ31,0),2)</f>
      </c>
      <c r="AB31" s="62">
        <f>ROUND(IF(AQ31="1",BH31,0),2)</f>
      </c>
      <c r="AC31" s="62">
        <f>ROUND(IF(AQ31="1",BI31,0),2)</f>
      </c>
      <c r="AD31" s="62">
        <f>ROUND(IF(AQ31="7",BH31,0),2)</f>
      </c>
      <c r="AE31" s="62">
        <f>ROUND(IF(AQ31="7",BI31,0),2)</f>
      </c>
      <c r="AF31" s="62">
        <f>ROUND(IF(AQ31="2",BH31,0),2)</f>
      </c>
      <c r="AG31" s="62">
        <f>ROUND(IF(AQ31="2",BI31,0),2)</f>
      </c>
      <c r="AH31" s="62">
        <f>ROUND(IF(AQ31="0",BJ31,0),2)</f>
      </c>
      <c r="AI31" s="35" t="s">
        <v>55</v>
      </c>
      <c r="AJ31" s="62">
        <f>IF(AN31=0,K31,0)</f>
      </c>
      <c r="AK31" s="62">
        <f>IF(AN31=12,K31,0)</f>
      </c>
      <c r="AL31" s="62">
        <f>IF(AN31=21,K31,0)</f>
      </c>
      <c r="AN31" s="62" t="n">
        <v>21</v>
      </c>
      <c r="AO31" s="62">
        <f>H31*0.399500543</f>
      </c>
      <c r="AP31" s="62">
        <f>H31*(1-0.399500543)</f>
      </c>
      <c r="AQ31" s="65" t="s">
        <v>59</v>
      </c>
      <c r="AV31" s="62">
        <f>ROUND(AW31+AX31,2)</f>
      </c>
      <c r="AW31" s="62">
        <f>ROUND(G31*AO31,2)</f>
      </c>
      <c r="AX31" s="62">
        <f>ROUND(G31*AP31,2)</f>
      </c>
      <c r="AY31" s="65" t="s">
        <v>104</v>
      </c>
      <c r="AZ31" s="65" t="s">
        <v>105</v>
      </c>
      <c r="BA31" s="35" t="s">
        <v>66</v>
      </c>
      <c r="BC31" s="62">
        <f>AW31+AX31</f>
      </c>
      <c r="BD31" s="62">
        <f>H31/(100-BE31)*100</f>
      </c>
      <c r="BE31" s="62" t="n">
        <v>0</v>
      </c>
      <c r="BF31" s="62">
        <f>N31</f>
      </c>
      <c r="BH31" s="62">
        <f>G31*AO31</f>
      </c>
      <c r="BI31" s="62">
        <f>G31*AP31</f>
      </c>
      <c r="BJ31" s="62">
        <f>G31*H31</f>
      </c>
      <c r="BK31" s="65" t="s">
        <v>67</v>
      </c>
      <c r="BL31" s="62" t="n">
        <v>34</v>
      </c>
      <c r="BW31" s="62" t="n">
        <v>21</v>
      </c>
      <c r="BX31" s="16" t="s">
        <v>109</v>
      </c>
    </row>
    <row r="32" customHeight="true" ht="13.5">
      <c r="A32" s="66"/>
      <c r="C32" s="67" t="s">
        <v>68</v>
      </c>
      <c r="D32" s="68" t="s">
        <v>110</v>
      </c>
      <c r="E32" s="69"/>
      <c r="F32" s="69"/>
      <c r="G32" s="69"/>
      <c r="H32" s="70"/>
      <c r="I32" s="69"/>
      <c r="J32" s="69"/>
      <c r="K32" s="69"/>
      <c r="L32" s="69"/>
      <c r="M32" s="69"/>
      <c r="N32" s="69"/>
      <c r="O32" s="71"/>
    </row>
    <row r="33">
      <c r="A33" s="10" t="s">
        <v>111</v>
      </c>
      <c r="B33" s="11" t="s">
        <v>55</v>
      </c>
      <c r="C33" s="11" t="s">
        <v>112</v>
      </c>
      <c r="D33" s="16" t="s">
        <v>113</v>
      </c>
      <c r="E33" s="11"/>
      <c r="F33" s="11" t="s">
        <v>114</v>
      </c>
      <c r="G33" s="62" t="n">
        <v>9</v>
      </c>
      <c r="H33" s="63" t="n">
        <v>0</v>
      </c>
      <c r="I33" s="62">
        <f>ROUND(G33*AO33,2)</f>
      </c>
      <c r="J33" s="62">
        <f>ROUND(G33*AP33,2)</f>
      </c>
      <c r="K33" s="62">
        <f>ROUND(G33*H33,2)</f>
      </c>
      <c r="L33" s="62" t="n">
        <v>0.09015</v>
      </c>
      <c r="M33" s="62" t="n">
        <v>0.09015</v>
      </c>
      <c r="N33" s="62">
        <f>G33*M33</f>
      </c>
      <c r="O33" s="64" t="s">
        <v>63</v>
      </c>
      <c r="Z33" s="62">
        <f>ROUND(IF(AQ33="5",BJ33,0),2)</f>
      </c>
      <c r="AB33" s="62">
        <f>ROUND(IF(AQ33="1",BH33,0),2)</f>
      </c>
      <c r="AC33" s="62">
        <f>ROUND(IF(AQ33="1",BI33,0),2)</f>
      </c>
      <c r="AD33" s="62">
        <f>ROUND(IF(AQ33="7",BH33,0),2)</f>
      </c>
      <c r="AE33" s="62">
        <f>ROUND(IF(AQ33="7",BI33,0),2)</f>
      </c>
      <c r="AF33" s="62">
        <f>ROUND(IF(AQ33="2",BH33,0),2)</f>
      </c>
      <c r="AG33" s="62">
        <f>ROUND(IF(AQ33="2",BI33,0),2)</f>
      </c>
      <c r="AH33" s="62">
        <f>ROUND(IF(AQ33="0",BJ33,0),2)</f>
      </c>
      <c r="AI33" s="35" t="s">
        <v>55</v>
      </c>
      <c r="AJ33" s="62">
        <f>IF(AN33=0,K33,0)</f>
      </c>
      <c r="AK33" s="62">
        <f>IF(AN33=12,K33,0)</f>
      </c>
      <c r="AL33" s="62">
        <f>IF(AN33=21,K33,0)</f>
      </c>
      <c r="AN33" s="62" t="n">
        <v>21</v>
      </c>
      <c r="AO33" s="62">
        <f>H33*0.263328859</f>
      </c>
      <c r="AP33" s="62">
        <f>H33*(1-0.263328859)</f>
      </c>
      <c r="AQ33" s="65" t="s">
        <v>59</v>
      </c>
      <c r="AV33" s="62">
        <f>ROUND(AW33+AX33,2)</f>
      </c>
      <c r="AW33" s="62">
        <f>ROUND(G33*AO33,2)</f>
      </c>
      <c r="AX33" s="62">
        <f>ROUND(G33*AP33,2)</f>
      </c>
      <c r="AY33" s="65" t="s">
        <v>104</v>
      </c>
      <c r="AZ33" s="65" t="s">
        <v>105</v>
      </c>
      <c r="BA33" s="35" t="s">
        <v>66</v>
      </c>
      <c r="BC33" s="62">
        <f>AW33+AX33</f>
      </c>
      <c r="BD33" s="62">
        <f>H33/(100-BE33)*100</f>
      </c>
      <c r="BE33" s="62" t="n">
        <v>0</v>
      </c>
      <c r="BF33" s="62">
        <f>N33</f>
      </c>
      <c r="BH33" s="62">
        <f>G33*AO33</f>
      </c>
      <c r="BI33" s="62">
        <f>G33*AP33</f>
      </c>
      <c r="BJ33" s="62">
        <f>G33*H33</f>
      </c>
      <c r="BK33" s="65" t="s">
        <v>67</v>
      </c>
      <c r="BL33" s="62" t="n">
        <v>34</v>
      </c>
      <c r="BW33" s="62" t="n">
        <v>21</v>
      </c>
      <c r="BX33" s="16" t="s">
        <v>113</v>
      </c>
    </row>
    <row r="34" customHeight="true" ht="13.5">
      <c r="A34" s="66"/>
      <c r="C34" s="67" t="s">
        <v>68</v>
      </c>
      <c r="D34" s="68" t="s">
        <v>115</v>
      </c>
      <c r="E34" s="69"/>
      <c r="F34" s="69"/>
      <c r="G34" s="69"/>
      <c r="H34" s="70"/>
      <c r="I34" s="69"/>
      <c r="J34" s="69"/>
      <c r="K34" s="69"/>
      <c r="L34" s="69"/>
      <c r="M34" s="69"/>
      <c r="N34" s="69"/>
      <c r="O34" s="71"/>
    </row>
    <row r="35">
      <c r="A35" s="66"/>
      <c r="D35" s="72" t="s">
        <v>116</v>
      </c>
      <c r="E35" s="73" t="s">
        <v>54</v>
      </c>
      <c r="G35" s="74" t="n">
        <v>9</v>
      </c>
      <c r="O35" s="75"/>
    </row>
    <row r="36">
      <c r="A36" s="10" t="s">
        <v>117</v>
      </c>
      <c r="B36" s="11" t="s">
        <v>55</v>
      </c>
      <c r="C36" s="11" t="s">
        <v>118</v>
      </c>
      <c r="D36" s="16" t="s">
        <v>119</v>
      </c>
      <c r="E36" s="11"/>
      <c r="F36" s="11" t="s">
        <v>62</v>
      </c>
      <c r="G36" s="62" t="n">
        <v>9.35</v>
      </c>
      <c r="H36" s="63" t="n">
        <v>0</v>
      </c>
      <c r="I36" s="62">
        <f>ROUND(G36*AO36,2)</f>
      </c>
      <c r="J36" s="62">
        <f>ROUND(G36*AP36,2)</f>
      </c>
      <c r="K36" s="62">
        <f>ROUND(G36*H36,2)</f>
      </c>
      <c r="L36" s="62" t="n">
        <v>0.15204</v>
      </c>
      <c r="M36" s="62" t="n">
        <v>0.15204</v>
      </c>
      <c r="N36" s="62">
        <f>G36*M36</f>
      </c>
      <c r="O36" s="64" t="s">
        <v>63</v>
      </c>
      <c r="Z36" s="62">
        <f>ROUND(IF(AQ36="5",BJ36,0),2)</f>
      </c>
      <c r="AB36" s="62">
        <f>ROUND(IF(AQ36="1",BH36,0),2)</f>
      </c>
      <c r="AC36" s="62">
        <f>ROUND(IF(AQ36="1",BI36,0),2)</f>
      </c>
      <c r="AD36" s="62">
        <f>ROUND(IF(AQ36="7",BH36,0),2)</f>
      </c>
      <c r="AE36" s="62">
        <f>ROUND(IF(AQ36="7",BI36,0),2)</f>
      </c>
      <c r="AF36" s="62">
        <f>ROUND(IF(AQ36="2",BH36,0),2)</f>
      </c>
      <c r="AG36" s="62">
        <f>ROUND(IF(AQ36="2",BI36,0),2)</f>
      </c>
      <c r="AH36" s="62">
        <f>ROUND(IF(AQ36="0",BJ36,0),2)</f>
      </c>
      <c r="AI36" s="35" t="s">
        <v>55</v>
      </c>
      <c r="AJ36" s="62">
        <f>IF(AN36=0,K36,0)</f>
      </c>
      <c r="AK36" s="62">
        <f>IF(AN36=12,K36,0)</f>
      </c>
      <c r="AL36" s="62">
        <f>IF(AN36=21,K36,0)</f>
      </c>
      <c r="AN36" s="62" t="n">
        <v>21</v>
      </c>
      <c r="AO36" s="62">
        <f>H36*0.37415725</f>
      </c>
      <c r="AP36" s="62">
        <f>H36*(1-0.37415725)</f>
      </c>
      <c r="AQ36" s="65" t="s">
        <v>59</v>
      </c>
      <c r="AV36" s="62">
        <f>ROUND(AW36+AX36,2)</f>
      </c>
      <c r="AW36" s="62">
        <f>ROUND(G36*AO36,2)</f>
      </c>
      <c r="AX36" s="62">
        <f>ROUND(G36*AP36,2)</f>
      </c>
      <c r="AY36" s="65" t="s">
        <v>104</v>
      </c>
      <c r="AZ36" s="65" t="s">
        <v>105</v>
      </c>
      <c r="BA36" s="35" t="s">
        <v>66</v>
      </c>
      <c r="BC36" s="62">
        <f>AW36+AX36</f>
      </c>
      <c r="BD36" s="62">
        <f>H36/(100-BE36)*100</f>
      </c>
      <c r="BE36" s="62" t="n">
        <v>0</v>
      </c>
      <c r="BF36" s="62">
        <f>N36</f>
      </c>
      <c r="BH36" s="62">
        <f>G36*AO36</f>
      </c>
      <c r="BI36" s="62">
        <f>G36*AP36</f>
      </c>
      <c r="BJ36" s="62">
        <f>G36*H36</f>
      </c>
      <c r="BK36" s="65" t="s">
        <v>67</v>
      </c>
      <c r="BL36" s="62" t="n">
        <v>34</v>
      </c>
      <c r="BW36" s="62" t="n">
        <v>21</v>
      </c>
      <c r="BX36" s="16" t="s">
        <v>119</v>
      </c>
    </row>
    <row r="37" customHeight="true" ht="13.5">
      <c r="A37" s="66"/>
      <c r="C37" s="67" t="s">
        <v>68</v>
      </c>
      <c r="D37" s="68" t="s">
        <v>120</v>
      </c>
      <c r="E37" s="69"/>
      <c r="F37" s="69"/>
      <c r="G37" s="69"/>
      <c r="H37" s="70"/>
      <c r="I37" s="69"/>
      <c r="J37" s="69"/>
      <c r="K37" s="69"/>
      <c r="L37" s="69"/>
      <c r="M37" s="69"/>
      <c r="N37" s="69"/>
      <c r="O37" s="71"/>
    </row>
    <row r="38">
      <c r="A38" s="66"/>
      <c r="D38" s="72" t="s">
        <v>121</v>
      </c>
      <c r="E38" s="73" t="s">
        <v>54</v>
      </c>
      <c r="G38" s="74" t="n">
        <v>5.68</v>
      </c>
      <c r="O38" s="75"/>
    </row>
    <row r="39">
      <c r="A39" s="66"/>
      <c r="D39" s="72" t="s">
        <v>122</v>
      </c>
      <c r="E39" s="73" t="s">
        <v>54</v>
      </c>
      <c r="G39" s="74" t="n">
        <v>3.67</v>
      </c>
      <c r="O39" s="75"/>
    </row>
    <row r="40">
      <c r="A40" s="56" t="s">
        <v>54</v>
      </c>
      <c r="B40" s="57" t="s">
        <v>55</v>
      </c>
      <c r="C40" s="57" t="s">
        <v>123</v>
      </c>
      <c r="D40" s="58" t="s">
        <v>124</v>
      </c>
      <c r="E40" s="57"/>
      <c r="F40" s="59" t="s">
        <v>4</v>
      </c>
      <c r="G40" s="59" t="s">
        <v>4</v>
      </c>
      <c r="H40" s="60" t="s">
        <v>4</v>
      </c>
      <c r="I40" s="2">
        <f>SUM(I41:I41)</f>
      </c>
      <c r="J40" s="2">
        <f>SUM(J41:J41)</f>
      </c>
      <c r="K40" s="2">
        <f>SUM(K41:K41)</f>
      </c>
      <c r="L40" s="35" t="s">
        <v>54</v>
      </c>
      <c r="M40" s="35" t="s">
        <v>54</v>
      </c>
      <c r="N40" s="2">
        <f>SUM(N41:N41)</f>
      </c>
      <c r="O40" s="61" t="s">
        <v>54</v>
      </c>
      <c r="AI40" s="35" t="s">
        <v>55</v>
      </c>
      <c r="AS40" s="2">
        <f>SUM(AJ41:AJ41)</f>
      </c>
      <c r="AT40" s="2">
        <f>SUM(AK41:AK41)</f>
      </c>
      <c r="AU40" s="2">
        <f>SUM(AL41:AL41)</f>
      </c>
    </row>
    <row r="41">
      <c r="A41" s="10" t="s">
        <v>57</v>
      </c>
      <c r="B41" s="11" t="s">
        <v>55</v>
      </c>
      <c r="C41" s="11" t="s">
        <v>125</v>
      </c>
      <c r="D41" s="16" t="s">
        <v>126</v>
      </c>
      <c r="E41" s="11"/>
      <c r="F41" s="11" t="s">
        <v>114</v>
      </c>
      <c r="G41" s="62" t="n">
        <v>55</v>
      </c>
      <c r="H41" s="63" t="n">
        <v>0</v>
      </c>
      <c r="I41" s="62">
        <f>ROUND(G41*AO41,2)</f>
      </c>
      <c r="J41" s="62">
        <f>ROUND(G41*AP41,2)</f>
      </c>
      <c r="K41" s="62">
        <f>ROUND(G41*H41,2)</f>
      </c>
      <c r="L41" s="62" t="n">
        <v>0.0089</v>
      </c>
      <c r="M41" s="62" t="n">
        <v>0.0089</v>
      </c>
      <c r="N41" s="62">
        <f>G41*M41</f>
      </c>
      <c r="O41" s="64" t="s">
        <v>63</v>
      </c>
      <c r="Z41" s="62">
        <f>ROUND(IF(AQ41="5",BJ41,0),2)</f>
      </c>
      <c r="AB41" s="62">
        <f>ROUND(IF(AQ41="1",BH41,0),2)</f>
      </c>
      <c r="AC41" s="62">
        <f>ROUND(IF(AQ41="1",BI41,0),2)</f>
      </c>
      <c r="AD41" s="62">
        <f>ROUND(IF(AQ41="7",BH41,0),2)</f>
      </c>
      <c r="AE41" s="62">
        <f>ROUND(IF(AQ41="7",BI41,0),2)</f>
      </c>
      <c r="AF41" s="62">
        <f>ROUND(IF(AQ41="2",BH41,0),2)</f>
      </c>
      <c r="AG41" s="62">
        <f>ROUND(IF(AQ41="2",BI41,0),2)</f>
      </c>
      <c r="AH41" s="62">
        <f>ROUND(IF(AQ41="0",BJ41,0),2)</f>
      </c>
      <c r="AI41" s="35" t="s">
        <v>55</v>
      </c>
      <c r="AJ41" s="62">
        <f>IF(AN41=0,K41,0)</f>
      </c>
      <c r="AK41" s="62">
        <f>IF(AN41=12,K41,0)</f>
      </c>
      <c r="AL41" s="62">
        <f>IF(AN41=21,K41,0)</f>
      </c>
      <c r="AN41" s="62" t="n">
        <v>21</v>
      </c>
      <c r="AO41" s="62">
        <f>H41*0.159125536</f>
      </c>
      <c r="AP41" s="62">
        <f>H41*(1-0.159125536)</f>
      </c>
      <c r="AQ41" s="65" t="s">
        <v>59</v>
      </c>
      <c r="AV41" s="62">
        <f>ROUND(AW41+AX41,2)</f>
      </c>
      <c r="AW41" s="62">
        <f>ROUND(G41*AO41,2)</f>
      </c>
      <c r="AX41" s="62">
        <f>ROUND(G41*AP41,2)</f>
      </c>
      <c r="AY41" s="65" t="s">
        <v>127</v>
      </c>
      <c r="AZ41" s="65" t="s">
        <v>105</v>
      </c>
      <c r="BA41" s="35" t="s">
        <v>66</v>
      </c>
      <c r="BC41" s="62">
        <f>AW41+AX41</f>
      </c>
      <c r="BD41" s="62">
        <f>H41/(100-BE41)*100</f>
      </c>
      <c r="BE41" s="62" t="n">
        <v>0</v>
      </c>
      <c r="BF41" s="62">
        <f>N41</f>
      </c>
      <c r="BH41" s="62">
        <f>G41*AO41</f>
      </c>
      <c r="BI41" s="62">
        <f>G41*AP41</f>
      </c>
      <c r="BJ41" s="62">
        <f>G41*H41</f>
      </c>
      <c r="BK41" s="65" t="s">
        <v>67</v>
      </c>
      <c r="BL41" s="62" t="n">
        <v>38</v>
      </c>
      <c r="BW41" s="62" t="n">
        <v>21</v>
      </c>
      <c r="BX41" s="16" t="s">
        <v>126</v>
      </c>
    </row>
    <row r="42" customHeight="true" ht="13.5">
      <c r="A42" s="66"/>
      <c r="C42" s="67" t="s">
        <v>68</v>
      </c>
      <c r="D42" s="68" t="s">
        <v>128</v>
      </c>
      <c r="E42" s="69"/>
      <c r="F42" s="69"/>
      <c r="G42" s="69"/>
      <c r="H42" s="70"/>
      <c r="I42" s="69"/>
      <c r="J42" s="69"/>
      <c r="K42" s="69"/>
      <c r="L42" s="69"/>
      <c r="M42" s="69"/>
      <c r="N42" s="69"/>
      <c r="O42" s="71"/>
    </row>
    <row r="43" customHeight="true" ht="40.5">
      <c r="A43" s="66"/>
      <c r="C43" s="76" t="s">
        <v>71</v>
      </c>
      <c r="D43" s="77" t="s">
        <v>129</v>
      </c>
      <c r="E43" s="78"/>
      <c r="F43" s="78"/>
      <c r="G43" s="78"/>
      <c r="H43" s="79"/>
      <c r="I43" s="78"/>
      <c r="J43" s="78"/>
      <c r="K43" s="78"/>
      <c r="L43" s="78"/>
      <c r="M43" s="78"/>
      <c r="N43" s="78"/>
      <c r="O43" s="80"/>
    </row>
    <row r="44">
      <c r="A44" s="56" t="s">
        <v>54</v>
      </c>
      <c r="B44" s="57" t="s">
        <v>55</v>
      </c>
      <c r="C44" s="57" t="s">
        <v>130</v>
      </c>
      <c r="D44" s="58" t="s">
        <v>131</v>
      </c>
      <c r="E44" s="57"/>
      <c r="F44" s="59" t="s">
        <v>4</v>
      </c>
      <c r="G44" s="59" t="s">
        <v>4</v>
      </c>
      <c r="H44" s="60" t="s">
        <v>4</v>
      </c>
      <c r="I44" s="2">
        <f>SUM(I45:I48)</f>
      </c>
      <c r="J44" s="2">
        <f>SUM(J45:J48)</f>
      </c>
      <c r="K44" s="2">
        <f>SUM(K45:K48)</f>
      </c>
      <c r="L44" s="35" t="s">
        <v>54</v>
      </c>
      <c r="M44" s="35" t="s">
        <v>54</v>
      </c>
      <c r="N44" s="2">
        <f>SUM(N45:N48)</f>
      </c>
      <c r="O44" s="61" t="s">
        <v>54</v>
      </c>
      <c r="AI44" s="35" t="s">
        <v>55</v>
      </c>
      <c r="AS44" s="2">
        <f>SUM(AJ45:AJ48)</f>
      </c>
      <c r="AT44" s="2">
        <f>SUM(AK45:AK48)</f>
      </c>
      <c r="AU44" s="2">
        <f>SUM(AL45:AL48)</f>
      </c>
    </row>
    <row r="45">
      <c r="A45" s="10" t="s">
        <v>132</v>
      </c>
      <c r="B45" s="11" t="s">
        <v>55</v>
      </c>
      <c r="C45" s="11" t="s">
        <v>133</v>
      </c>
      <c r="D45" s="16" t="s">
        <v>134</v>
      </c>
      <c r="E45" s="11"/>
      <c r="F45" s="11" t="s">
        <v>62</v>
      </c>
      <c r="G45" s="62" t="n">
        <v>5.8</v>
      </c>
      <c r="H45" s="63" t="n">
        <v>0</v>
      </c>
      <c r="I45" s="62">
        <f>ROUND(G45*AO45,2)</f>
      </c>
      <c r="J45" s="62">
        <f>ROUND(G45*AP45,2)</f>
      </c>
      <c r="K45" s="62">
        <f>ROUND(G45*H45,2)</f>
      </c>
      <c r="L45" s="62" t="n">
        <v>0.07</v>
      </c>
      <c r="M45" s="62" t="n">
        <v>0.07</v>
      </c>
      <c r="N45" s="62">
        <f>G45*M45</f>
      </c>
      <c r="O45" s="64" t="s">
        <v>63</v>
      </c>
      <c r="Z45" s="62">
        <f>ROUND(IF(AQ45="5",BJ45,0),2)</f>
      </c>
      <c r="AB45" s="62">
        <f>ROUND(IF(AQ45="1",BH45,0),2)</f>
      </c>
      <c r="AC45" s="62">
        <f>ROUND(IF(AQ45="1",BI45,0),2)</f>
      </c>
      <c r="AD45" s="62">
        <f>ROUND(IF(AQ45="7",BH45,0),2)</f>
      </c>
      <c r="AE45" s="62">
        <f>ROUND(IF(AQ45="7",BI45,0),2)</f>
      </c>
      <c r="AF45" s="62">
        <f>ROUND(IF(AQ45="2",BH45,0),2)</f>
      </c>
      <c r="AG45" s="62">
        <f>ROUND(IF(AQ45="2",BI45,0),2)</f>
      </c>
      <c r="AH45" s="62">
        <f>ROUND(IF(AQ45="0",BJ45,0),2)</f>
      </c>
      <c r="AI45" s="35" t="s">
        <v>55</v>
      </c>
      <c r="AJ45" s="62">
        <f>IF(AN45=0,K45,0)</f>
      </c>
      <c r="AK45" s="62">
        <f>IF(AN45=12,K45,0)</f>
      </c>
      <c r="AL45" s="62">
        <f>IF(AN45=21,K45,0)</f>
      </c>
      <c r="AN45" s="62" t="n">
        <v>21</v>
      </c>
      <c r="AO45" s="62">
        <f>H45*0.154910361</f>
      </c>
      <c r="AP45" s="62">
        <f>H45*(1-0.154910361)</f>
      </c>
      <c r="AQ45" s="65" t="s">
        <v>59</v>
      </c>
      <c r="AV45" s="62">
        <f>ROUND(AW45+AX45,2)</f>
      </c>
      <c r="AW45" s="62">
        <f>ROUND(G45*AO45,2)</f>
      </c>
      <c r="AX45" s="62">
        <f>ROUND(G45*AP45,2)</f>
      </c>
      <c r="AY45" s="65" t="s">
        <v>135</v>
      </c>
      <c r="AZ45" s="65" t="s">
        <v>105</v>
      </c>
      <c r="BA45" s="35" t="s">
        <v>66</v>
      </c>
      <c r="BC45" s="62">
        <f>AW45+AX45</f>
      </c>
      <c r="BD45" s="62">
        <f>H45/(100-BE45)*100</f>
      </c>
      <c r="BE45" s="62" t="n">
        <v>0</v>
      </c>
      <c r="BF45" s="62">
        <f>N45</f>
      </c>
      <c r="BH45" s="62">
        <f>G45*AO45</f>
      </c>
      <c r="BI45" s="62">
        <f>G45*AP45</f>
      </c>
      <c r="BJ45" s="62">
        <f>G45*H45</f>
      </c>
      <c r="BK45" s="65" t="s">
        <v>67</v>
      </c>
      <c r="BL45" s="62" t="n">
        <v>39</v>
      </c>
      <c r="BW45" s="62" t="n">
        <v>21</v>
      </c>
      <c r="BX45" s="16" t="s">
        <v>134</v>
      </c>
    </row>
    <row r="46">
      <c r="A46" s="66"/>
      <c r="D46" s="72" t="s">
        <v>136</v>
      </c>
      <c r="E46" s="73" t="s">
        <v>54</v>
      </c>
      <c r="G46" s="74" t="n">
        <v>5.8</v>
      </c>
      <c r="O46" s="75"/>
    </row>
    <row r="47" customHeight="true" ht="13.5">
      <c r="A47" s="66"/>
      <c r="C47" s="76" t="s">
        <v>71</v>
      </c>
      <c r="D47" s="77" t="s">
        <v>137</v>
      </c>
      <c r="E47" s="78"/>
      <c r="F47" s="78"/>
      <c r="G47" s="78"/>
      <c r="H47" s="79"/>
      <c r="I47" s="78"/>
      <c r="J47" s="78"/>
      <c r="K47" s="78"/>
      <c r="L47" s="78"/>
      <c r="M47" s="78"/>
      <c r="N47" s="78"/>
      <c r="O47" s="80"/>
    </row>
    <row r="48">
      <c r="A48" s="10" t="s">
        <v>73</v>
      </c>
      <c r="B48" s="11" t="s">
        <v>55</v>
      </c>
      <c r="C48" s="11" t="s">
        <v>138</v>
      </c>
      <c r="D48" s="16" t="s">
        <v>139</v>
      </c>
      <c r="E48" s="11"/>
      <c r="F48" s="11" t="s">
        <v>62</v>
      </c>
      <c r="G48" s="62" t="n">
        <v>2.7</v>
      </c>
      <c r="H48" s="63" t="n">
        <v>0</v>
      </c>
      <c r="I48" s="62">
        <f>ROUND(G48*AO48,2)</f>
      </c>
      <c r="J48" s="62">
        <f>ROUND(G48*AP48,2)</f>
      </c>
      <c r="K48" s="62">
        <f>ROUND(G48*H48,2)</f>
      </c>
      <c r="L48" s="62" t="n">
        <v>0.08</v>
      </c>
      <c r="M48" s="62" t="n">
        <v>0.08</v>
      </c>
      <c r="N48" s="62">
        <f>G48*M48</f>
      </c>
      <c r="O48" s="64" t="s">
        <v>63</v>
      </c>
      <c r="Z48" s="62">
        <f>ROUND(IF(AQ48="5",BJ48,0),2)</f>
      </c>
      <c r="AB48" s="62">
        <f>ROUND(IF(AQ48="1",BH48,0),2)</f>
      </c>
      <c r="AC48" s="62">
        <f>ROUND(IF(AQ48="1",BI48,0),2)</f>
      </c>
      <c r="AD48" s="62">
        <f>ROUND(IF(AQ48="7",BH48,0),2)</f>
      </c>
      <c r="AE48" s="62">
        <f>ROUND(IF(AQ48="7",BI48,0),2)</f>
      </c>
      <c r="AF48" s="62">
        <f>ROUND(IF(AQ48="2",BH48,0),2)</f>
      </c>
      <c r="AG48" s="62">
        <f>ROUND(IF(AQ48="2",BI48,0),2)</f>
      </c>
      <c r="AH48" s="62">
        <f>ROUND(IF(AQ48="0",BJ48,0),2)</f>
      </c>
      <c r="AI48" s="35" t="s">
        <v>55</v>
      </c>
      <c r="AJ48" s="62">
        <f>IF(AN48=0,K48,0)</f>
      </c>
      <c r="AK48" s="62">
        <f>IF(AN48=12,K48,0)</f>
      </c>
      <c r="AL48" s="62">
        <f>IF(AN48=21,K48,0)</f>
      </c>
      <c r="AN48" s="62" t="n">
        <v>21</v>
      </c>
      <c r="AO48" s="62">
        <f>H48*0.14589086</f>
      </c>
      <c r="AP48" s="62">
        <f>H48*(1-0.14589086)</f>
      </c>
      <c r="AQ48" s="65" t="s">
        <v>59</v>
      </c>
      <c r="AV48" s="62">
        <f>ROUND(AW48+AX48,2)</f>
      </c>
      <c r="AW48" s="62">
        <f>ROUND(G48*AO48,2)</f>
      </c>
      <c r="AX48" s="62">
        <f>ROUND(G48*AP48,2)</f>
      </c>
      <c r="AY48" s="65" t="s">
        <v>135</v>
      </c>
      <c r="AZ48" s="65" t="s">
        <v>105</v>
      </c>
      <c r="BA48" s="35" t="s">
        <v>66</v>
      </c>
      <c r="BC48" s="62">
        <f>AW48+AX48</f>
      </c>
      <c r="BD48" s="62">
        <f>H48/(100-BE48)*100</f>
      </c>
      <c r="BE48" s="62" t="n">
        <v>0</v>
      </c>
      <c r="BF48" s="62">
        <f>N48</f>
      </c>
      <c r="BH48" s="62">
        <f>G48*AO48</f>
      </c>
      <c r="BI48" s="62">
        <f>G48*AP48</f>
      </c>
      <c r="BJ48" s="62">
        <f>G48*H48</f>
      </c>
      <c r="BK48" s="65" t="s">
        <v>67</v>
      </c>
      <c r="BL48" s="62" t="n">
        <v>39</v>
      </c>
      <c r="BW48" s="62" t="n">
        <v>21</v>
      </c>
      <c r="BX48" s="16" t="s">
        <v>139</v>
      </c>
    </row>
    <row r="49">
      <c r="A49" s="56" t="s">
        <v>54</v>
      </c>
      <c r="B49" s="57" t="s">
        <v>55</v>
      </c>
      <c r="C49" s="57" t="s">
        <v>140</v>
      </c>
      <c r="D49" s="58" t="s">
        <v>141</v>
      </c>
      <c r="E49" s="57"/>
      <c r="F49" s="59" t="s">
        <v>4</v>
      </c>
      <c r="G49" s="59" t="s">
        <v>4</v>
      </c>
      <c r="H49" s="60" t="s">
        <v>4</v>
      </c>
      <c r="I49" s="2">
        <f>SUM(I50:I50)</f>
      </c>
      <c r="J49" s="2">
        <f>SUM(J50:J50)</f>
      </c>
      <c r="K49" s="2">
        <f>SUM(K50:K50)</f>
      </c>
      <c r="L49" s="35" t="s">
        <v>54</v>
      </c>
      <c r="M49" s="35" t="s">
        <v>54</v>
      </c>
      <c r="N49" s="2">
        <f>SUM(N50:N50)</f>
      </c>
      <c r="O49" s="61" t="s">
        <v>54</v>
      </c>
      <c r="AI49" s="35" t="s">
        <v>55</v>
      </c>
      <c r="AS49" s="2">
        <f>SUM(AJ50:AJ50)</f>
      </c>
      <c r="AT49" s="2">
        <f>SUM(AK50:AK50)</f>
      </c>
      <c r="AU49" s="2">
        <f>SUM(AL50:AL50)</f>
      </c>
    </row>
    <row r="50">
      <c r="A50" s="10" t="s">
        <v>142</v>
      </c>
      <c r="B50" s="11" t="s">
        <v>55</v>
      </c>
      <c r="C50" s="11" t="s">
        <v>143</v>
      </c>
      <c r="D50" s="16" t="s">
        <v>144</v>
      </c>
      <c r="E50" s="11"/>
      <c r="F50" s="11" t="s">
        <v>62</v>
      </c>
      <c r="G50" s="62" t="n">
        <v>18</v>
      </c>
      <c r="H50" s="63" t="n">
        <v>0</v>
      </c>
      <c r="I50" s="62">
        <f>ROUND(G50*AO50,2)</f>
      </c>
      <c r="J50" s="62">
        <f>ROUND(G50*AP50,2)</f>
      </c>
      <c r="K50" s="62">
        <f>ROUND(G50*H50,2)</f>
      </c>
      <c r="L50" s="62" t="n">
        <v>0.115</v>
      </c>
      <c r="M50" s="62" t="n">
        <v>0.115</v>
      </c>
      <c r="N50" s="62">
        <f>G50*M50</f>
      </c>
      <c r="O50" s="64" t="s">
        <v>63</v>
      </c>
      <c r="Z50" s="62">
        <f>ROUND(IF(AQ50="5",BJ50,0),2)</f>
      </c>
      <c r="AB50" s="62">
        <f>ROUND(IF(AQ50="1",BH50,0),2)</f>
      </c>
      <c r="AC50" s="62">
        <f>ROUND(IF(AQ50="1",BI50,0),2)</f>
      </c>
      <c r="AD50" s="62">
        <f>ROUND(IF(AQ50="7",BH50,0),2)</f>
      </c>
      <c r="AE50" s="62">
        <f>ROUND(IF(AQ50="7",BI50,0),2)</f>
      </c>
      <c r="AF50" s="62">
        <f>ROUND(IF(AQ50="2",BH50,0),2)</f>
      </c>
      <c r="AG50" s="62">
        <f>ROUND(IF(AQ50="2",BI50,0),2)</f>
      </c>
      <c r="AH50" s="62">
        <f>ROUND(IF(AQ50="0",BJ50,0),2)</f>
      </c>
      <c r="AI50" s="35" t="s">
        <v>55</v>
      </c>
      <c r="AJ50" s="62">
        <f>IF(AN50=0,K50,0)</f>
      </c>
      <c r="AK50" s="62">
        <f>IF(AN50=12,K50,0)</f>
      </c>
      <c r="AL50" s="62">
        <f>IF(AN50=21,K50,0)</f>
      </c>
      <c r="AN50" s="62" t="n">
        <v>21</v>
      </c>
      <c r="AO50" s="62">
        <f>H50*0.65083871</f>
      </c>
      <c r="AP50" s="62">
        <f>H50*(1-0.65083871)</f>
      </c>
      <c r="AQ50" s="65" t="s">
        <v>59</v>
      </c>
      <c r="AV50" s="62">
        <f>ROUND(AW50+AX50,2)</f>
      </c>
      <c r="AW50" s="62">
        <f>ROUND(G50*AO50,2)</f>
      </c>
      <c r="AX50" s="62">
        <f>ROUND(G50*AP50,2)</f>
      </c>
      <c r="AY50" s="65" t="s">
        <v>145</v>
      </c>
      <c r="AZ50" s="65" t="s">
        <v>146</v>
      </c>
      <c r="BA50" s="35" t="s">
        <v>66</v>
      </c>
      <c r="BC50" s="62">
        <f>AW50+AX50</f>
      </c>
      <c r="BD50" s="62">
        <f>H50/(100-BE50)*100</f>
      </c>
      <c r="BE50" s="62" t="n">
        <v>0</v>
      </c>
      <c r="BF50" s="62">
        <f>N50</f>
      </c>
      <c r="BH50" s="62">
        <f>G50*AO50</f>
      </c>
      <c r="BI50" s="62">
        <f>G50*AP50</f>
      </c>
      <c r="BJ50" s="62">
        <f>G50*H50</f>
      </c>
      <c r="BK50" s="65" t="s">
        <v>67</v>
      </c>
      <c r="BL50" s="62" t="n">
        <v>56</v>
      </c>
      <c r="BW50" s="62" t="n">
        <v>21</v>
      </c>
      <c r="BX50" s="16" t="s">
        <v>144</v>
      </c>
    </row>
    <row r="51" customHeight="true" ht="13.5">
      <c r="A51" s="66"/>
      <c r="C51" s="67" t="s">
        <v>68</v>
      </c>
      <c r="D51" s="68" t="s">
        <v>147</v>
      </c>
      <c r="E51" s="69"/>
      <c r="F51" s="69"/>
      <c r="G51" s="69"/>
      <c r="H51" s="70"/>
      <c r="I51" s="69"/>
      <c r="J51" s="69"/>
      <c r="K51" s="69"/>
      <c r="L51" s="69"/>
      <c r="M51" s="69"/>
      <c r="N51" s="69"/>
      <c r="O51" s="71"/>
    </row>
    <row r="52">
      <c r="A52" s="66"/>
      <c r="D52" s="72" t="s">
        <v>70</v>
      </c>
      <c r="E52" s="73" t="s">
        <v>54</v>
      </c>
      <c r="G52" s="74" t="n">
        <v>18</v>
      </c>
      <c r="O52" s="75"/>
    </row>
    <row r="53" customHeight="true" ht="13.5">
      <c r="A53" s="66"/>
      <c r="C53" s="76" t="s">
        <v>71</v>
      </c>
      <c r="D53" s="77" t="s">
        <v>148</v>
      </c>
      <c r="E53" s="78"/>
      <c r="F53" s="78"/>
      <c r="G53" s="78"/>
      <c r="H53" s="79"/>
      <c r="I53" s="78"/>
      <c r="J53" s="78"/>
      <c r="K53" s="78"/>
      <c r="L53" s="78"/>
      <c r="M53" s="78"/>
      <c r="N53" s="78"/>
      <c r="O53" s="80"/>
    </row>
    <row r="54">
      <c r="A54" s="56" t="s">
        <v>54</v>
      </c>
      <c r="B54" s="57" t="s">
        <v>55</v>
      </c>
      <c r="C54" s="57" t="s">
        <v>149</v>
      </c>
      <c r="D54" s="58" t="s">
        <v>150</v>
      </c>
      <c r="E54" s="57"/>
      <c r="F54" s="59" t="s">
        <v>4</v>
      </c>
      <c r="G54" s="59" t="s">
        <v>4</v>
      </c>
      <c r="H54" s="60" t="s">
        <v>4</v>
      </c>
      <c r="I54" s="2">
        <f>SUM(I55:I55)</f>
      </c>
      <c r="J54" s="2">
        <f>SUM(J55:J55)</f>
      </c>
      <c r="K54" s="2">
        <f>SUM(K55:K55)</f>
      </c>
      <c r="L54" s="35" t="s">
        <v>54</v>
      </c>
      <c r="M54" s="35" t="s">
        <v>54</v>
      </c>
      <c r="N54" s="2">
        <f>SUM(N55:N55)</f>
      </c>
      <c r="O54" s="61" t="s">
        <v>54</v>
      </c>
      <c r="AI54" s="35" t="s">
        <v>55</v>
      </c>
      <c r="AS54" s="2">
        <f>SUM(AJ55:AJ55)</f>
      </c>
      <c r="AT54" s="2">
        <f>SUM(AK55:AK55)</f>
      </c>
      <c r="AU54" s="2">
        <f>SUM(AL55:AL55)</f>
      </c>
    </row>
    <row r="55">
      <c r="A55" s="10" t="s">
        <v>151</v>
      </c>
      <c r="B55" s="11" t="s">
        <v>55</v>
      </c>
      <c r="C55" s="11" t="s">
        <v>152</v>
      </c>
      <c r="D55" s="16" t="s">
        <v>153</v>
      </c>
      <c r="E55" s="11"/>
      <c r="F55" s="11" t="s">
        <v>62</v>
      </c>
      <c r="G55" s="62" t="n">
        <v>18</v>
      </c>
      <c r="H55" s="63" t="n">
        <v>0</v>
      </c>
      <c r="I55" s="62">
        <f>ROUND(G55*AO55,2)</f>
      </c>
      <c r="J55" s="62">
        <f>ROUND(G55*AP55,2)</f>
      </c>
      <c r="K55" s="62">
        <f>ROUND(G55*H55,2)</f>
      </c>
      <c r="L55" s="62" t="n">
        <v>0.11</v>
      </c>
      <c r="M55" s="62" t="n">
        <v>0.11</v>
      </c>
      <c r="N55" s="62">
        <f>G55*M55</f>
      </c>
      <c r="O55" s="64" t="s">
        <v>63</v>
      </c>
      <c r="Z55" s="62">
        <f>ROUND(IF(AQ55="5",BJ55,0),2)</f>
      </c>
      <c r="AB55" s="62">
        <f>ROUND(IF(AQ55="1",BH55,0),2)</f>
      </c>
      <c r="AC55" s="62">
        <f>ROUND(IF(AQ55="1",BI55,0),2)</f>
      </c>
      <c r="AD55" s="62">
        <f>ROUND(IF(AQ55="7",BH55,0),2)</f>
      </c>
      <c r="AE55" s="62">
        <f>ROUND(IF(AQ55="7",BI55,0),2)</f>
      </c>
      <c r="AF55" s="62">
        <f>ROUND(IF(AQ55="2",BH55,0),2)</f>
      </c>
      <c r="AG55" s="62">
        <f>ROUND(IF(AQ55="2",BI55,0),2)</f>
      </c>
      <c r="AH55" s="62">
        <f>ROUND(IF(AQ55="0",BJ55,0),2)</f>
      </c>
      <c r="AI55" s="35" t="s">
        <v>55</v>
      </c>
      <c r="AJ55" s="62">
        <f>IF(AN55=0,K55,0)</f>
      </c>
      <c r="AK55" s="62">
        <f>IF(AN55=12,K55,0)</f>
      </c>
      <c r="AL55" s="62">
        <f>IF(AN55=21,K55,0)</f>
      </c>
      <c r="AN55" s="62" t="n">
        <v>21</v>
      </c>
      <c r="AO55" s="62">
        <f>H55*0.053507838</f>
      </c>
      <c r="AP55" s="62">
        <f>H55*(1-0.053507838)</f>
      </c>
      <c r="AQ55" s="65" t="s">
        <v>59</v>
      </c>
      <c r="AV55" s="62">
        <f>ROUND(AW55+AX55,2)</f>
      </c>
      <c r="AW55" s="62">
        <f>ROUND(G55*AO55,2)</f>
      </c>
      <c r="AX55" s="62">
        <f>ROUND(G55*AP55,2)</f>
      </c>
      <c r="AY55" s="65" t="s">
        <v>154</v>
      </c>
      <c r="AZ55" s="65" t="s">
        <v>146</v>
      </c>
      <c r="BA55" s="35" t="s">
        <v>66</v>
      </c>
      <c r="BC55" s="62">
        <f>AW55+AX55</f>
      </c>
      <c r="BD55" s="62">
        <f>H55/(100-BE55)*100</f>
      </c>
      <c r="BE55" s="62" t="n">
        <v>0</v>
      </c>
      <c r="BF55" s="62">
        <f>N55</f>
      </c>
      <c r="BH55" s="62">
        <f>G55*AO55</f>
      </c>
      <c r="BI55" s="62">
        <f>G55*AP55</f>
      </c>
      <c r="BJ55" s="62">
        <f>G55*H55</f>
      </c>
      <c r="BK55" s="65" t="s">
        <v>67</v>
      </c>
      <c r="BL55" s="62" t="n">
        <v>59</v>
      </c>
      <c r="BW55" s="62" t="n">
        <v>21</v>
      </c>
      <c r="BX55" s="16" t="s">
        <v>153</v>
      </c>
    </row>
    <row r="56" customHeight="true" ht="13.5">
      <c r="A56" s="66"/>
      <c r="C56" s="76" t="s">
        <v>71</v>
      </c>
      <c r="D56" s="77" t="s">
        <v>155</v>
      </c>
      <c r="E56" s="78"/>
      <c r="F56" s="78"/>
      <c r="G56" s="78"/>
      <c r="H56" s="79"/>
      <c r="I56" s="78"/>
      <c r="J56" s="78"/>
      <c r="K56" s="78"/>
      <c r="L56" s="78"/>
      <c r="M56" s="78"/>
      <c r="N56" s="78"/>
      <c r="O56" s="80"/>
    </row>
    <row r="57">
      <c r="A57" s="56" t="s">
        <v>54</v>
      </c>
      <c r="B57" s="57" t="s">
        <v>55</v>
      </c>
      <c r="C57" s="57" t="s">
        <v>156</v>
      </c>
      <c r="D57" s="58" t="s">
        <v>157</v>
      </c>
      <c r="E57" s="57"/>
      <c r="F57" s="59" t="s">
        <v>4</v>
      </c>
      <c r="G57" s="59" t="s">
        <v>4</v>
      </c>
      <c r="H57" s="60" t="s">
        <v>4</v>
      </c>
      <c r="I57" s="2">
        <f>SUM(I58:I69)</f>
      </c>
      <c r="J57" s="2">
        <f>SUM(J58:J69)</f>
      </c>
      <c r="K57" s="2">
        <f>SUM(K58:K69)</f>
      </c>
      <c r="L57" s="35" t="s">
        <v>54</v>
      </c>
      <c r="M57" s="35" t="s">
        <v>54</v>
      </c>
      <c r="N57" s="2">
        <f>SUM(N58:N69)</f>
      </c>
      <c r="O57" s="61" t="s">
        <v>54</v>
      </c>
      <c r="AI57" s="35" t="s">
        <v>55</v>
      </c>
      <c r="AS57" s="2">
        <f>SUM(AJ58:AJ69)</f>
      </c>
      <c r="AT57" s="2">
        <f>SUM(AK58:AK69)</f>
      </c>
      <c r="AU57" s="2">
        <f>SUM(AL58:AL69)</f>
      </c>
    </row>
    <row r="58">
      <c r="A58" s="10" t="s">
        <v>158</v>
      </c>
      <c r="B58" s="11" t="s">
        <v>55</v>
      </c>
      <c r="C58" s="11" t="s">
        <v>159</v>
      </c>
      <c r="D58" s="16" t="s">
        <v>160</v>
      </c>
      <c r="E58" s="11"/>
      <c r="F58" s="11" t="s">
        <v>62</v>
      </c>
      <c r="G58" s="62" t="n">
        <v>21.04</v>
      </c>
      <c r="H58" s="63" t="n">
        <v>0</v>
      </c>
      <c r="I58" s="62">
        <f>ROUND(G58*AO58,2)</f>
      </c>
      <c r="J58" s="62">
        <f>ROUND(G58*AP58,2)</f>
      </c>
      <c r="K58" s="62">
        <f>ROUND(G58*H58,2)</f>
      </c>
      <c r="L58" s="62" t="n">
        <v>4E-5</v>
      </c>
      <c r="M58" s="62" t="n">
        <v>4E-5</v>
      </c>
      <c r="N58" s="62">
        <f>G58*M58</f>
      </c>
      <c r="O58" s="64" t="s">
        <v>63</v>
      </c>
      <c r="Z58" s="62">
        <f>ROUND(IF(AQ58="5",BJ58,0),2)</f>
      </c>
      <c r="AB58" s="62">
        <f>ROUND(IF(AQ58="1",BH58,0),2)</f>
      </c>
      <c r="AC58" s="62">
        <f>ROUND(IF(AQ58="1",BI58,0),2)</f>
      </c>
      <c r="AD58" s="62">
        <f>ROUND(IF(AQ58="7",BH58,0),2)</f>
      </c>
      <c r="AE58" s="62">
        <f>ROUND(IF(AQ58="7",BI58,0),2)</f>
      </c>
      <c r="AF58" s="62">
        <f>ROUND(IF(AQ58="2",BH58,0),2)</f>
      </c>
      <c r="AG58" s="62">
        <f>ROUND(IF(AQ58="2",BI58,0),2)</f>
      </c>
      <c r="AH58" s="62">
        <f>ROUND(IF(AQ58="0",BJ58,0),2)</f>
      </c>
      <c r="AI58" s="35" t="s">
        <v>55</v>
      </c>
      <c r="AJ58" s="62">
        <f>IF(AN58=0,K58,0)</f>
      </c>
      <c r="AK58" s="62">
        <f>IF(AN58=12,K58,0)</f>
      </c>
      <c r="AL58" s="62">
        <f>IF(AN58=21,K58,0)</f>
      </c>
      <c r="AN58" s="62" t="n">
        <v>21</v>
      </c>
      <c r="AO58" s="62">
        <f>H58*0.267960053</f>
      </c>
      <c r="AP58" s="62">
        <f>H58*(1-0.267960053)</f>
      </c>
      <c r="AQ58" s="65" t="s">
        <v>59</v>
      </c>
      <c r="AV58" s="62">
        <f>ROUND(AW58+AX58,2)</f>
      </c>
      <c r="AW58" s="62">
        <f>ROUND(G58*AO58,2)</f>
      </c>
      <c r="AX58" s="62">
        <f>ROUND(G58*AP58,2)</f>
      </c>
      <c r="AY58" s="65" t="s">
        <v>161</v>
      </c>
      <c r="AZ58" s="65" t="s">
        <v>162</v>
      </c>
      <c r="BA58" s="35" t="s">
        <v>66</v>
      </c>
      <c r="BC58" s="62">
        <f>AW58+AX58</f>
      </c>
      <c r="BD58" s="62">
        <f>H58/(100-BE58)*100</f>
      </c>
      <c r="BE58" s="62" t="n">
        <v>0</v>
      </c>
      <c r="BF58" s="62">
        <f>N58</f>
      </c>
      <c r="BH58" s="62">
        <f>G58*AO58</f>
      </c>
      <c r="BI58" s="62">
        <f>G58*AP58</f>
      </c>
      <c r="BJ58" s="62">
        <f>G58*H58</f>
      </c>
      <c r="BK58" s="65" t="s">
        <v>67</v>
      </c>
      <c r="BL58" s="62" t="n">
        <v>61</v>
      </c>
      <c r="BW58" s="62" t="n">
        <v>21</v>
      </c>
      <c r="BX58" s="16" t="s">
        <v>160</v>
      </c>
    </row>
    <row r="59">
      <c r="A59" s="66"/>
      <c r="D59" s="72" t="s">
        <v>163</v>
      </c>
      <c r="E59" s="73" t="s">
        <v>54</v>
      </c>
      <c r="G59" s="74" t="n">
        <v>21.04</v>
      </c>
      <c r="O59" s="75"/>
    </row>
    <row r="60">
      <c r="A60" s="10" t="s">
        <v>88</v>
      </c>
      <c r="B60" s="11" t="s">
        <v>55</v>
      </c>
      <c r="C60" s="11" t="s">
        <v>164</v>
      </c>
      <c r="D60" s="16" t="s">
        <v>165</v>
      </c>
      <c r="E60" s="11"/>
      <c r="F60" s="11" t="s">
        <v>62</v>
      </c>
      <c r="G60" s="62" t="n">
        <v>6.48</v>
      </c>
      <c r="H60" s="63" t="n">
        <v>0</v>
      </c>
      <c r="I60" s="62">
        <f>ROUND(G60*AO60,2)</f>
      </c>
      <c r="J60" s="62">
        <f>ROUND(G60*AP60,2)</f>
      </c>
      <c r="K60" s="62">
        <f>ROUND(G60*H60,2)</f>
      </c>
      <c r="L60" s="62" t="n">
        <v>0.03566</v>
      </c>
      <c r="M60" s="62" t="n">
        <v>0.03566</v>
      </c>
      <c r="N60" s="62">
        <f>G60*M60</f>
      </c>
      <c r="O60" s="64" t="s">
        <v>63</v>
      </c>
      <c r="Z60" s="62">
        <f>ROUND(IF(AQ60="5",BJ60,0),2)</f>
      </c>
      <c r="AB60" s="62">
        <f>ROUND(IF(AQ60="1",BH60,0),2)</f>
      </c>
      <c r="AC60" s="62">
        <f>ROUND(IF(AQ60="1",BI60,0),2)</f>
      </c>
      <c r="AD60" s="62">
        <f>ROUND(IF(AQ60="7",BH60,0),2)</f>
      </c>
      <c r="AE60" s="62">
        <f>ROUND(IF(AQ60="7",BI60,0),2)</f>
      </c>
      <c r="AF60" s="62">
        <f>ROUND(IF(AQ60="2",BH60,0),2)</f>
      </c>
      <c r="AG60" s="62">
        <f>ROUND(IF(AQ60="2",BI60,0),2)</f>
      </c>
      <c r="AH60" s="62">
        <f>ROUND(IF(AQ60="0",BJ60,0),2)</f>
      </c>
      <c r="AI60" s="35" t="s">
        <v>55</v>
      </c>
      <c r="AJ60" s="62">
        <f>IF(AN60=0,K60,0)</f>
      </c>
      <c r="AK60" s="62">
        <f>IF(AN60=12,K60,0)</f>
      </c>
      <c r="AL60" s="62">
        <f>IF(AN60=21,K60,0)</f>
      </c>
      <c r="AN60" s="62" t="n">
        <v>21</v>
      </c>
      <c r="AO60" s="62">
        <f>H60*0.283684317</f>
      </c>
      <c r="AP60" s="62">
        <f>H60*(1-0.283684317)</f>
      </c>
      <c r="AQ60" s="65" t="s">
        <v>59</v>
      </c>
      <c r="AV60" s="62">
        <f>ROUND(AW60+AX60,2)</f>
      </c>
      <c r="AW60" s="62">
        <f>ROUND(G60*AO60,2)</f>
      </c>
      <c r="AX60" s="62">
        <f>ROUND(G60*AP60,2)</f>
      </c>
      <c r="AY60" s="65" t="s">
        <v>161</v>
      </c>
      <c r="AZ60" s="65" t="s">
        <v>162</v>
      </c>
      <c r="BA60" s="35" t="s">
        <v>66</v>
      </c>
      <c r="BC60" s="62">
        <f>AW60+AX60</f>
      </c>
      <c r="BD60" s="62">
        <f>H60/(100-BE60)*100</f>
      </c>
      <c r="BE60" s="62" t="n">
        <v>0</v>
      </c>
      <c r="BF60" s="62">
        <f>N60</f>
      </c>
      <c r="BH60" s="62">
        <f>G60*AO60</f>
      </c>
      <c r="BI60" s="62">
        <f>G60*AP60</f>
      </c>
      <c r="BJ60" s="62">
        <f>G60*H60</f>
      </c>
      <c r="BK60" s="65" t="s">
        <v>67</v>
      </c>
      <c r="BL60" s="62" t="n">
        <v>61</v>
      </c>
      <c r="BW60" s="62" t="n">
        <v>21</v>
      </c>
      <c r="BX60" s="16" t="s">
        <v>165</v>
      </c>
    </row>
    <row r="61" customHeight="true" ht="13.5">
      <c r="A61" s="66"/>
      <c r="C61" s="67" t="s">
        <v>68</v>
      </c>
      <c r="D61" s="68" t="s">
        <v>106</v>
      </c>
      <c r="E61" s="69"/>
      <c r="F61" s="69"/>
      <c r="G61" s="69"/>
      <c r="H61" s="70"/>
      <c r="I61" s="69"/>
      <c r="J61" s="69"/>
      <c r="K61" s="69"/>
      <c r="L61" s="69"/>
      <c r="M61" s="69"/>
      <c r="N61" s="69"/>
      <c r="O61" s="71"/>
    </row>
    <row r="62">
      <c r="A62" s="66"/>
      <c r="D62" s="72" t="s">
        <v>166</v>
      </c>
      <c r="E62" s="73" t="s">
        <v>54</v>
      </c>
      <c r="G62" s="74" t="n">
        <v>6.48</v>
      </c>
      <c r="O62" s="75"/>
    </row>
    <row r="63">
      <c r="A63" s="10" t="s">
        <v>167</v>
      </c>
      <c r="B63" s="11" t="s">
        <v>55</v>
      </c>
      <c r="C63" s="11" t="s">
        <v>168</v>
      </c>
      <c r="D63" s="16" t="s">
        <v>169</v>
      </c>
      <c r="E63" s="11"/>
      <c r="F63" s="11" t="s">
        <v>114</v>
      </c>
      <c r="G63" s="62" t="n">
        <v>38.35</v>
      </c>
      <c r="H63" s="63" t="n">
        <v>0</v>
      </c>
      <c r="I63" s="62">
        <f>ROUND(G63*AO63,2)</f>
      </c>
      <c r="J63" s="62">
        <f>ROUND(G63*AP63,2)</f>
      </c>
      <c r="K63" s="62">
        <f>ROUND(G63*H63,2)</f>
      </c>
      <c r="L63" s="62" t="n">
        <v>0.0348</v>
      </c>
      <c r="M63" s="62" t="n">
        <v>0.0348</v>
      </c>
      <c r="N63" s="62">
        <f>G63*M63</f>
      </c>
      <c r="O63" s="64" t="s">
        <v>63</v>
      </c>
      <c r="Z63" s="62">
        <f>ROUND(IF(AQ63="5",BJ63,0),2)</f>
      </c>
      <c r="AB63" s="62">
        <f>ROUND(IF(AQ63="1",BH63,0),2)</f>
      </c>
      <c r="AC63" s="62">
        <f>ROUND(IF(AQ63="1",BI63,0),2)</f>
      </c>
      <c r="AD63" s="62">
        <f>ROUND(IF(AQ63="7",BH63,0),2)</f>
      </c>
      <c r="AE63" s="62">
        <f>ROUND(IF(AQ63="7",BI63,0),2)</f>
      </c>
      <c r="AF63" s="62">
        <f>ROUND(IF(AQ63="2",BH63,0),2)</f>
      </c>
      <c r="AG63" s="62">
        <f>ROUND(IF(AQ63="2",BI63,0),2)</f>
      </c>
      <c r="AH63" s="62">
        <f>ROUND(IF(AQ63="0",BJ63,0),2)</f>
      </c>
      <c r="AI63" s="35" t="s">
        <v>55</v>
      </c>
      <c r="AJ63" s="62">
        <f>IF(AN63=0,K63,0)</f>
      </c>
      <c r="AK63" s="62">
        <f>IF(AN63=12,K63,0)</f>
      </c>
      <c r="AL63" s="62">
        <f>IF(AN63=21,K63,0)</f>
      </c>
      <c r="AN63" s="62" t="n">
        <v>21</v>
      </c>
      <c r="AO63" s="62">
        <f>H63*0.318993955</f>
      </c>
      <c r="AP63" s="62">
        <f>H63*(1-0.318993955)</f>
      </c>
      <c r="AQ63" s="65" t="s">
        <v>59</v>
      </c>
      <c r="AV63" s="62">
        <f>ROUND(AW63+AX63,2)</f>
      </c>
      <c r="AW63" s="62">
        <f>ROUND(G63*AO63,2)</f>
      </c>
      <c r="AX63" s="62">
        <f>ROUND(G63*AP63,2)</f>
      </c>
      <c r="AY63" s="65" t="s">
        <v>161</v>
      </c>
      <c r="AZ63" s="65" t="s">
        <v>162</v>
      </c>
      <c r="BA63" s="35" t="s">
        <v>66</v>
      </c>
      <c r="BC63" s="62">
        <f>AW63+AX63</f>
      </c>
      <c r="BD63" s="62">
        <f>H63/(100-BE63)*100</f>
      </c>
      <c r="BE63" s="62" t="n">
        <v>0</v>
      </c>
      <c r="BF63" s="62">
        <f>N63</f>
      </c>
      <c r="BH63" s="62">
        <f>G63*AO63</f>
      </c>
      <c r="BI63" s="62">
        <f>G63*AP63</f>
      </c>
      <c r="BJ63" s="62">
        <f>G63*H63</f>
      </c>
      <c r="BK63" s="65" t="s">
        <v>67</v>
      </c>
      <c r="BL63" s="62" t="n">
        <v>61</v>
      </c>
      <c r="BW63" s="62" t="n">
        <v>21</v>
      </c>
      <c r="BX63" s="16" t="s">
        <v>169</v>
      </c>
    </row>
    <row r="64">
      <c r="A64" s="66"/>
      <c r="D64" s="72" t="s">
        <v>170</v>
      </c>
      <c r="E64" s="73" t="s">
        <v>54</v>
      </c>
      <c r="G64" s="74" t="n">
        <v>38.35</v>
      </c>
      <c r="O64" s="75"/>
    </row>
    <row r="65" customHeight="true" ht="13.5">
      <c r="A65" s="66"/>
      <c r="C65" s="76" t="s">
        <v>71</v>
      </c>
      <c r="D65" s="77" t="s">
        <v>171</v>
      </c>
      <c r="E65" s="78"/>
      <c r="F65" s="78"/>
      <c r="G65" s="78"/>
      <c r="H65" s="79"/>
      <c r="I65" s="78"/>
      <c r="J65" s="78"/>
      <c r="K65" s="78"/>
      <c r="L65" s="78"/>
      <c r="M65" s="78"/>
      <c r="N65" s="78"/>
      <c r="O65" s="80"/>
    </row>
    <row r="66">
      <c r="A66" s="10" t="s">
        <v>172</v>
      </c>
      <c r="B66" s="11" t="s">
        <v>55</v>
      </c>
      <c r="C66" s="11" t="s">
        <v>173</v>
      </c>
      <c r="D66" s="16" t="s">
        <v>174</v>
      </c>
      <c r="E66" s="11"/>
      <c r="F66" s="11" t="s">
        <v>114</v>
      </c>
      <c r="G66" s="62" t="n">
        <v>7.7</v>
      </c>
      <c r="H66" s="63" t="n">
        <v>0</v>
      </c>
      <c r="I66" s="62">
        <f>ROUND(G66*AO66,2)</f>
      </c>
      <c r="J66" s="62">
        <f>ROUND(G66*AP66,2)</f>
      </c>
      <c r="K66" s="62">
        <f>ROUND(G66*H66,2)</f>
      </c>
      <c r="L66" s="62" t="n">
        <v>0.0502</v>
      </c>
      <c r="M66" s="62" t="n">
        <v>0.0502</v>
      </c>
      <c r="N66" s="62">
        <f>G66*M66</f>
      </c>
      <c r="O66" s="64" t="s">
        <v>63</v>
      </c>
      <c r="Z66" s="62">
        <f>ROUND(IF(AQ66="5",BJ66,0),2)</f>
      </c>
      <c r="AB66" s="62">
        <f>ROUND(IF(AQ66="1",BH66,0),2)</f>
      </c>
      <c r="AC66" s="62">
        <f>ROUND(IF(AQ66="1",BI66,0),2)</f>
      </c>
      <c r="AD66" s="62">
        <f>ROUND(IF(AQ66="7",BH66,0),2)</f>
      </c>
      <c r="AE66" s="62">
        <f>ROUND(IF(AQ66="7",BI66,0),2)</f>
      </c>
      <c r="AF66" s="62">
        <f>ROUND(IF(AQ66="2",BH66,0),2)</f>
      </c>
      <c r="AG66" s="62">
        <f>ROUND(IF(AQ66="2",BI66,0),2)</f>
      </c>
      <c r="AH66" s="62">
        <f>ROUND(IF(AQ66="0",BJ66,0),2)</f>
      </c>
      <c r="AI66" s="35" t="s">
        <v>55</v>
      </c>
      <c r="AJ66" s="62">
        <f>IF(AN66=0,K66,0)</f>
      </c>
      <c r="AK66" s="62">
        <f>IF(AN66=12,K66,0)</f>
      </c>
      <c r="AL66" s="62">
        <f>IF(AN66=21,K66,0)</f>
      </c>
      <c r="AN66" s="62" t="n">
        <v>21</v>
      </c>
      <c r="AO66" s="62">
        <f>H66*0.373138559</f>
      </c>
      <c r="AP66" s="62">
        <f>H66*(1-0.373138559)</f>
      </c>
      <c r="AQ66" s="65" t="s">
        <v>59</v>
      </c>
      <c r="AV66" s="62">
        <f>ROUND(AW66+AX66,2)</f>
      </c>
      <c r="AW66" s="62">
        <f>ROUND(G66*AO66,2)</f>
      </c>
      <c r="AX66" s="62">
        <f>ROUND(G66*AP66,2)</f>
      </c>
      <c r="AY66" s="65" t="s">
        <v>161</v>
      </c>
      <c r="AZ66" s="65" t="s">
        <v>162</v>
      </c>
      <c r="BA66" s="35" t="s">
        <v>66</v>
      </c>
      <c r="BC66" s="62">
        <f>AW66+AX66</f>
      </c>
      <c r="BD66" s="62">
        <f>H66/(100-BE66)*100</f>
      </c>
      <c r="BE66" s="62" t="n">
        <v>0</v>
      </c>
      <c r="BF66" s="62">
        <f>N66</f>
      </c>
      <c r="BH66" s="62">
        <f>G66*AO66</f>
      </c>
      <c r="BI66" s="62">
        <f>G66*AP66</f>
      </c>
      <c r="BJ66" s="62">
        <f>G66*H66</f>
      </c>
      <c r="BK66" s="65" t="s">
        <v>67</v>
      </c>
      <c r="BL66" s="62" t="n">
        <v>61</v>
      </c>
      <c r="BW66" s="62" t="n">
        <v>21</v>
      </c>
      <c r="BX66" s="16" t="s">
        <v>174</v>
      </c>
    </row>
    <row r="67">
      <c r="A67" s="66"/>
      <c r="D67" s="72" t="s">
        <v>175</v>
      </c>
      <c r="E67" s="73" t="s">
        <v>54</v>
      </c>
      <c r="G67" s="74" t="n">
        <v>7.7</v>
      </c>
      <c r="O67" s="75"/>
    </row>
    <row r="68" customHeight="true" ht="13.5">
      <c r="A68" s="66"/>
      <c r="C68" s="76" t="s">
        <v>71</v>
      </c>
      <c r="D68" s="77" t="s">
        <v>176</v>
      </c>
      <c r="E68" s="78"/>
      <c r="F68" s="78"/>
      <c r="G68" s="78"/>
      <c r="H68" s="79"/>
      <c r="I68" s="78"/>
      <c r="J68" s="78"/>
      <c r="K68" s="78"/>
      <c r="L68" s="78"/>
      <c r="M68" s="78"/>
      <c r="N68" s="78"/>
      <c r="O68" s="80"/>
    </row>
    <row r="69">
      <c r="A69" s="10" t="s">
        <v>177</v>
      </c>
      <c r="B69" s="11" t="s">
        <v>55</v>
      </c>
      <c r="C69" s="11" t="s">
        <v>178</v>
      </c>
      <c r="D69" s="16" t="s">
        <v>179</v>
      </c>
      <c r="E69" s="11"/>
      <c r="F69" s="11" t="s">
        <v>62</v>
      </c>
      <c r="G69" s="62" t="n">
        <v>0.17</v>
      </c>
      <c r="H69" s="63" t="n">
        <v>0</v>
      </c>
      <c r="I69" s="62">
        <f>ROUND(G69*AO69,2)</f>
      </c>
      <c r="J69" s="62">
        <f>ROUND(G69*AP69,2)</f>
      </c>
      <c r="K69" s="62">
        <f>ROUND(G69*H69,2)</f>
      </c>
      <c r="L69" s="62" t="n">
        <v>0.0007</v>
      </c>
      <c r="M69" s="62" t="n">
        <v>0.0007</v>
      </c>
      <c r="N69" s="62">
        <f>G69*M69</f>
      </c>
      <c r="O69" s="64" t="s">
        <v>63</v>
      </c>
      <c r="Z69" s="62">
        <f>ROUND(IF(AQ69="5",BJ69,0),2)</f>
      </c>
      <c r="AB69" s="62">
        <f>ROUND(IF(AQ69="1",BH69,0),2)</f>
      </c>
      <c r="AC69" s="62">
        <f>ROUND(IF(AQ69="1",BI69,0),2)</f>
      </c>
      <c r="AD69" s="62">
        <f>ROUND(IF(AQ69="7",BH69,0),2)</f>
      </c>
      <c r="AE69" s="62">
        <f>ROUND(IF(AQ69="7",BI69,0),2)</f>
      </c>
      <c r="AF69" s="62">
        <f>ROUND(IF(AQ69="2",BH69,0),2)</f>
      </c>
      <c r="AG69" s="62">
        <f>ROUND(IF(AQ69="2",BI69,0),2)</f>
      </c>
      <c r="AH69" s="62">
        <f>ROUND(IF(AQ69="0",BJ69,0),2)</f>
      </c>
      <c r="AI69" s="35" t="s">
        <v>55</v>
      </c>
      <c r="AJ69" s="62">
        <f>IF(AN69=0,K69,0)</f>
      </c>
      <c r="AK69" s="62">
        <f>IF(AN69=12,K69,0)</f>
      </c>
      <c r="AL69" s="62">
        <f>IF(AN69=21,K69,0)</f>
      </c>
      <c r="AN69" s="62" t="n">
        <v>21</v>
      </c>
      <c r="AO69" s="62">
        <f>H69*0.518217216</f>
      </c>
      <c r="AP69" s="62">
        <f>H69*(1-0.518217216)</f>
      </c>
      <c r="AQ69" s="65" t="s">
        <v>59</v>
      </c>
      <c r="AV69" s="62">
        <f>ROUND(AW69+AX69,2)</f>
      </c>
      <c r="AW69" s="62">
        <f>ROUND(G69*AO69,2)</f>
      </c>
      <c r="AX69" s="62">
        <f>ROUND(G69*AP69,2)</f>
      </c>
      <c r="AY69" s="65" t="s">
        <v>161</v>
      </c>
      <c r="AZ69" s="65" t="s">
        <v>162</v>
      </c>
      <c r="BA69" s="35" t="s">
        <v>66</v>
      </c>
      <c r="BC69" s="62">
        <f>AW69+AX69</f>
      </c>
      <c r="BD69" s="62">
        <f>H69/(100-BE69)*100</f>
      </c>
      <c r="BE69" s="62" t="n">
        <v>0</v>
      </c>
      <c r="BF69" s="62">
        <f>N69</f>
      </c>
      <c r="BH69" s="62">
        <f>G69*AO69</f>
      </c>
      <c r="BI69" s="62">
        <f>G69*AP69</f>
      </c>
      <c r="BJ69" s="62">
        <f>G69*H69</f>
      </c>
      <c r="BK69" s="65" t="s">
        <v>67</v>
      </c>
      <c r="BL69" s="62" t="n">
        <v>61</v>
      </c>
      <c r="BW69" s="62" t="n">
        <v>21</v>
      </c>
      <c r="BX69" s="16" t="s">
        <v>179</v>
      </c>
    </row>
    <row r="70" customHeight="true" ht="13.5">
      <c r="A70" s="66"/>
      <c r="C70" s="67" t="s">
        <v>68</v>
      </c>
      <c r="D70" s="68" t="s">
        <v>180</v>
      </c>
      <c r="E70" s="69"/>
      <c r="F70" s="69"/>
      <c r="G70" s="69"/>
      <c r="H70" s="70"/>
      <c r="I70" s="69"/>
      <c r="J70" s="69"/>
      <c r="K70" s="69"/>
      <c r="L70" s="69"/>
      <c r="M70" s="69"/>
      <c r="N70" s="69"/>
      <c r="O70" s="71"/>
    </row>
    <row r="71">
      <c r="A71" s="66"/>
      <c r="D71" s="72" t="s">
        <v>181</v>
      </c>
      <c r="E71" s="73" t="s">
        <v>54</v>
      </c>
      <c r="G71" s="74" t="n">
        <v>0.17</v>
      </c>
      <c r="O71" s="75"/>
    </row>
    <row r="72">
      <c r="A72" s="56" t="s">
        <v>54</v>
      </c>
      <c r="B72" s="57" t="s">
        <v>55</v>
      </c>
      <c r="C72" s="57" t="s">
        <v>182</v>
      </c>
      <c r="D72" s="58" t="s">
        <v>183</v>
      </c>
      <c r="E72" s="57"/>
      <c r="F72" s="59" t="s">
        <v>4</v>
      </c>
      <c r="G72" s="59" t="s">
        <v>4</v>
      </c>
      <c r="H72" s="60" t="s">
        <v>4</v>
      </c>
      <c r="I72" s="2">
        <f>SUM(I73:I91)</f>
      </c>
      <c r="J72" s="2">
        <f>SUM(J73:J91)</f>
      </c>
      <c r="K72" s="2">
        <f>SUM(K73:K91)</f>
      </c>
      <c r="L72" s="35" t="s">
        <v>54</v>
      </c>
      <c r="M72" s="35" t="s">
        <v>54</v>
      </c>
      <c r="N72" s="2">
        <f>SUM(N73:N91)</f>
      </c>
      <c r="O72" s="61" t="s">
        <v>54</v>
      </c>
      <c r="AI72" s="35" t="s">
        <v>55</v>
      </c>
      <c r="AS72" s="2">
        <f>SUM(AJ73:AJ91)</f>
      </c>
      <c r="AT72" s="2">
        <f>SUM(AK73:AK91)</f>
      </c>
      <c r="AU72" s="2">
        <f>SUM(AL73:AL91)</f>
      </c>
    </row>
    <row r="73">
      <c r="A73" s="10" t="s">
        <v>184</v>
      </c>
      <c r="B73" s="11" t="s">
        <v>55</v>
      </c>
      <c r="C73" s="11" t="s">
        <v>185</v>
      </c>
      <c r="D73" s="16" t="s">
        <v>186</v>
      </c>
      <c r="E73" s="11"/>
      <c r="F73" s="11" t="s">
        <v>62</v>
      </c>
      <c r="G73" s="62" t="n">
        <v>113</v>
      </c>
      <c r="H73" s="63" t="n">
        <v>0</v>
      </c>
      <c r="I73" s="62">
        <f>ROUND(G73*AO73,2)</f>
      </c>
      <c r="J73" s="62">
        <f>ROUND(G73*AP73,2)</f>
      </c>
      <c r="K73" s="62">
        <f>ROUND(G73*H73,2)</f>
      </c>
      <c r="L73" s="62" t="n">
        <v>0.00053</v>
      </c>
      <c r="M73" s="62" t="n">
        <v>0.00053</v>
      </c>
      <c r="N73" s="62">
        <f>G73*M73</f>
      </c>
      <c r="O73" s="64" t="s">
        <v>63</v>
      </c>
      <c r="Z73" s="62">
        <f>ROUND(IF(AQ73="5",BJ73,0),2)</f>
      </c>
      <c r="AB73" s="62">
        <f>ROUND(IF(AQ73="1",BH73,0),2)</f>
      </c>
      <c r="AC73" s="62">
        <f>ROUND(IF(AQ73="1",BI73,0),2)</f>
      </c>
      <c r="AD73" s="62">
        <f>ROUND(IF(AQ73="7",BH73,0),2)</f>
      </c>
      <c r="AE73" s="62">
        <f>ROUND(IF(AQ73="7",BI73,0),2)</f>
      </c>
      <c r="AF73" s="62">
        <f>ROUND(IF(AQ73="2",BH73,0),2)</f>
      </c>
      <c r="AG73" s="62">
        <f>ROUND(IF(AQ73="2",BI73,0),2)</f>
      </c>
      <c r="AH73" s="62">
        <f>ROUND(IF(AQ73="0",BJ73,0),2)</f>
      </c>
      <c r="AI73" s="35" t="s">
        <v>55</v>
      </c>
      <c r="AJ73" s="62">
        <f>IF(AN73=0,K73,0)</f>
      </c>
      <c r="AK73" s="62">
        <f>IF(AN73=12,K73,0)</f>
      </c>
      <c r="AL73" s="62">
        <f>IF(AN73=21,K73,0)</f>
      </c>
      <c r="AN73" s="62" t="n">
        <v>21</v>
      </c>
      <c r="AO73" s="62">
        <f>H73*0.729059185</f>
      </c>
      <c r="AP73" s="62">
        <f>H73*(1-0.729059185)</f>
      </c>
      <c r="AQ73" s="65" t="s">
        <v>59</v>
      </c>
      <c r="AV73" s="62">
        <f>ROUND(AW73+AX73,2)</f>
      </c>
      <c r="AW73" s="62">
        <f>ROUND(G73*AO73,2)</f>
      </c>
      <c r="AX73" s="62">
        <f>ROUND(G73*AP73,2)</f>
      </c>
      <c r="AY73" s="65" t="s">
        <v>187</v>
      </c>
      <c r="AZ73" s="65" t="s">
        <v>162</v>
      </c>
      <c r="BA73" s="35" t="s">
        <v>66</v>
      </c>
      <c r="BC73" s="62">
        <f>AW73+AX73</f>
      </c>
      <c r="BD73" s="62">
        <f>H73/(100-BE73)*100</f>
      </c>
      <c r="BE73" s="62" t="n">
        <v>0</v>
      </c>
      <c r="BF73" s="62">
        <f>N73</f>
      </c>
      <c r="BH73" s="62">
        <f>G73*AO73</f>
      </c>
      <c r="BI73" s="62">
        <f>G73*AP73</f>
      </c>
      <c r="BJ73" s="62">
        <f>G73*H73</f>
      </c>
      <c r="BK73" s="65" t="s">
        <v>67</v>
      </c>
      <c r="BL73" s="62" t="n">
        <v>62</v>
      </c>
      <c r="BW73" s="62" t="n">
        <v>21</v>
      </c>
      <c r="BX73" s="16" t="s">
        <v>186</v>
      </c>
    </row>
    <row r="74">
      <c r="A74" s="66"/>
      <c r="D74" s="72" t="s">
        <v>188</v>
      </c>
      <c r="E74" s="73" t="s">
        <v>54</v>
      </c>
      <c r="G74" s="74" t="n">
        <v>113</v>
      </c>
      <c r="O74" s="75"/>
    </row>
    <row r="75">
      <c r="A75" s="10" t="s">
        <v>189</v>
      </c>
      <c r="B75" s="11" t="s">
        <v>55</v>
      </c>
      <c r="C75" s="11" t="s">
        <v>190</v>
      </c>
      <c r="D75" s="16" t="s">
        <v>191</v>
      </c>
      <c r="E75" s="11"/>
      <c r="F75" s="11" t="s">
        <v>62</v>
      </c>
      <c r="G75" s="62" t="n">
        <v>30.41</v>
      </c>
      <c r="H75" s="63" t="n">
        <v>0</v>
      </c>
      <c r="I75" s="62">
        <f>ROUND(G75*AO75,2)</f>
      </c>
      <c r="J75" s="62">
        <f>ROUND(G75*AP75,2)</f>
      </c>
      <c r="K75" s="62">
        <f>ROUND(G75*H75,2)</f>
      </c>
      <c r="L75" s="62" t="n">
        <v>4E-5</v>
      </c>
      <c r="M75" s="62" t="n">
        <v>4E-5</v>
      </c>
      <c r="N75" s="62">
        <f>G75*M75</f>
      </c>
      <c r="O75" s="64" t="s">
        <v>63</v>
      </c>
      <c r="Z75" s="62">
        <f>ROUND(IF(AQ75="5",BJ75,0),2)</f>
      </c>
      <c r="AB75" s="62">
        <f>ROUND(IF(AQ75="1",BH75,0),2)</f>
      </c>
      <c r="AC75" s="62">
        <f>ROUND(IF(AQ75="1",BI75,0),2)</f>
      </c>
      <c r="AD75" s="62">
        <f>ROUND(IF(AQ75="7",BH75,0),2)</f>
      </c>
      <c r="AE75" s="62">
        <f>ROUND(IF(AQ75="7",BI75,0),2)</f>
      </c>
      <c r="AF75" s="62">
        <f>ROUND(IF(AQ75="2",BH75,0),2)</f>
      </c>
      <c r="AG75" s="62">
        <f>ROUND(IF(AQ75="2",BI75,0),2)</f>
      </c>
      <c r="AH75" s="62">
        <f>ROUND(IF(AQ75="0",BJ75,0),2)</f>
      </c>
      <c r="AI75" s="35" t="s">
        <v>55</v>
      </c>
      <c r="AJ75" s="62">
        <f>IF(AN75=0,K75,0)</f>
      </c>
      <c r="AK75" s="62">
        <f>IF(AN75=12,K75,0)</f>
      </c>
      <c r="AL75" s="62">
        <f>IF(AN75=21,K75,0)</f>
      </c>
      <c r="AN75" s="62" t="n">
        <v>21</v>
      </c>
      <c r="AO75" s="62">
        <f>H75*0.269060713</f>
      </c>
      <c r="AP75" s="62">
        <f>H75*(1-0.269060713)</f>
      </c>
      <c r="AQ75" s="65" t="s">
        <v>59</v>
      </c>
      <c r="AV75" s="62">
        <f>ROUND(AW75+AX75,2)</f>
      </c>
      <c r="AW75" s="62">
        <f>ROUND(G75*AO75,2)</f>
      </c>
      <c r="AX75" s="62">
        <f>ROUND(G75*AP75,2)</f>
      </c>
      <c r="AY75" s="65" t="s">
        <v>187</v>
      </c>
      <c r="AZ75" s="65" t="s">
        <v>162</v>
      </c>
      <c r="BA75" s="35" t="s">
        <v>66</v>
      </c>
      <c r="BC75" s="62">
        <f>AW75+AX75</f>
      </c>
      <c r="BD75" s="62">
        <f>H75/(100-BE75)*100</f>
      </c>
      <c r="BE75" s="62" t="n">
        <v>0</v>
      </c>
      <c r="BF75" s="62">
        <f>N75</f>
      </c>
      <c r="BH75" s="62">
        <f>G75*AO75</f>
      </c>
      <c r="BI75" s="62">
        <f>G75*AP75</f>
      </c>
      <c r="BJ75" s="62">
        <f>G75*H75</f>
      </c>
      <c r="BK75" s="65" t="s">
        <v>67</v>
      </c>
      <c r="BL75" s="62" t="n">
        <v>62</v>
      </c>
      <c r="BW75" s="62" t="n">
        <v>21</v>
      </c>
      <c r="BX75" s="16" t="s">
        <v>191</v>
      </c>
    </row>
    <row r="76">
      <c r="A76" s="66"/>
      <c r="D76" s="72" t="s">
        <v>192</v>
      </c>
      <c r="E76" s="73" t="s">
        <v>54</v>
      </c>
      <c r="G76" s="74" t="n">
        <v>30.41</v>
      </c>
      <c r="O76" s="75"/>
    </row>
    <row r="77">
      <c r="A77" s="10" t="s">
        <v>193</v>
      </c>
      <c r="B77" s="11" t="s">
        <v>55</v>
      </c>
      <c r="C77" s="11" t="s">
        <v>194</v>
      </c>
      <c r="D77" s="16" t="s">
        <v>195</v>
      </c>
      <c r="E77" s="11"/>
      <c r="F77" s="11" t="s">
        <v>62</v>
      </c>
      <c r="G77" s="62" t="n">
        <v>12.6</v>
      </c>
      <c r="H77" s="63" t="n">
        <v>0</v>
      </c>
      <c r="I77" s="62">
        <f>ROUND(G77*AO77,2)</f>
      </c>
      <c r="J77" s="62">
        <f>ROUND(G77*AP77,2)</f>
      </c>
      <c r="K77" s="62">
        <f>ROUND(G77*H77,2)</f>
      </c>
      <c r="L77" s="62" t="n">
        <v>0.06189</v>
      </c>
      <c r="M77" s="62" t="n">
        <v>0.06189</v>
      </c>
      <c r="N77" s="62">
        <f>G77*M77</f>
      </c>
      <c r="O77" s="64" t="s">
        <v>63</v>
      </c>
      <c r="Z77" s="62">
        <f>ROUND(IF(AQ77="5",BJ77,0),2)</f>
      </c>
      <c r="AB77" s="62">
        <f>ROUND(IF(AQ77="1",BH77,0),2)</f>
      </c>
      <c r="AC77" s="62">
        <f>ROUND(IF(AQ77="1",BI77,0),2)</f>
      </c>
      <c r="AD77" s="62">
        <f>ROUND(IF(AQ77="7",BH77,0),2)</f>
      </c>
      <c r="AE77" s="62">
        <f>ROUND(IF(AQ77="7",BI77,0),2)</f>
      </c>
      <c r="AF77" s="62">
        <f>ROUND(IF(AQ77="2",BH77,0),2)</f>
      </c>
      <c r="AG77" s="62">
        <f>ROUND(IF(AQ77="2",BI77,0),2)</f>
      </c>
      <c r="AH77" s="62">
        <f>ROUND(IF(AQ77="0",BJ77,0),2)</f>
      </c>
      <c r="AI77" s="35" t="s">
        <v>55</v>
      </c>
      <c r="AJ77" s="62">
        <f>IF(AN77=0,K77,0)</f>
      </c>
      <c r="AK77" s="62">
        <f>IF(AN77=12,K77,0)</f>
      </c>
      <c r="AL77" s="62">
        <f>IF(AN77=21,K77,0)</f>
      </c>
      <c r="AN77" s="62" t="n">
        <v>21</v>
      </c>
      <c r="AO77" s="62">
        <f>H77*0.051617305</f>
      </c>
      <c r="AP77" s="62">
        <f>H77*(1-0.051617305)</f>
      </c>
      <c r="AQ77" s="65" t="s">
        <v>59</v>
      </c>
      <c r="AV77" s="62">
        <f>ROUND(AW77+AX77,2)</f>
      </c>
      <c r="AW77" s="62">
        <f>ROUND(G77*AO77,2)</f>
      </c>
      <c r="AX77" s="62">
        <f>ROUND(G77*AP77,2)</f>
      </c>
      <c r="AY77" s="65" t="s">
        <v>187</v>
      </c>
      <c r="AZ77" s="65" t="s">
        <v>162</v>
      </c>
      <c r="BA77" s="35" t="s">
        <v>66</v>
      </c>
      <c r="BC77" s="62">
        <f>AW77+AX77</f>
      </c>
      <c r="BD77" s="62">
        <f>H77/(100-BE77)*100</f>
      </c>
      <c r="BE77" s="62" t="n">
        <v>0</v>
      </c>
      <c r="BF77" s="62">
        <f>N77</f>
      </c>
      <c r="BH77" s="62">
        <f>G77*AO77</f>
      </c>
      <c r="BI77" s="62">
        <f>G77*AP77</f>
      </c>
      <c r="BJ77" s="62">
        <f>G77*H77</f>
      </c>
      <c r="BK77" s="65" t="s">
        <v>67</v>
      </c>
      <c r="BL77" s="62" t="n">
        <v>62</v>
      </c>
      <c r="BW77" s="62" t="n">
        <v>21</v>
      </c>
      <c r="BX77" s="16" t="s">
        <v>195</v>
      </c>
    </row>
    <row r="78" customHeight="true" ht="13.5">
      <c r="A78" s="66"/>
      <c r="C78" s="67" t="s">
        <v>68</v>
      </c>
      <c r="D78" s="68" t="s">
        <v>196</v>
      </c>
      <c r="E78" s="69"/>
      <c r="F78" s="69"/>
      <c r="G78" s="69"/>
      <c r="H78" s="70"/>
      <c r="I78" s="69"/>
      <c r="J78" s="69"/>
      <c r="K78" s="69"/>
      <c r="L78" s="69"/>
      <c r="M78" s="69"/>
      <c r="N78" s="69"/>
      <c r="O78" s="71"/>
    </row>
    <row r="79">
      <c r="A79" s="10" t="s">
        <v>197</v>
      </c>
      <c r="B79" s="11" t="s">
        <v>55</v>
      </c>
      <c r="C79" s="11" t="s">
        <v>198</v>
      </c>
      <c r="D79" s="16" t="s">
        <v>199</v>
      </c>
      <c r="E79" s="11"/>
      <c r="F79" s="11" t="s">
        <v>62</v>
      </c>
      <c r="G79" s="62" t="n">
        <v>13.8</v>
      </c>
      <c r="H79" s="63" t="n">
        <v>0</v>
      </c>
      <c r="I79" s="62">
        <f>ROUND(G79*AO79,2)</f>
      </c>
      <c r="J79" s="62">
        <f>ROUND(G79*AP79,2)</f>
      </c>
      <c r="K79" s="62">
        <f>ROUND(G79*H79,2)</f>
      </c>
      <c r="L79" s="62" t="n">
        <v>0.01682</v>
      </c>
      <c r="M79" s="62" t="n">
        <v>0.01682</v>
      </c>
      <c r="N79" s="62">
        <f>G79*M79</f>
      </c>
      <c r="O79" s="64" t="s">
        <v>63</v>
      </c>
      <c r="Z79" s="62">
        <f>ROUND(IF(AQ79="5",BJ79,0),2)</f>
      </c>
      <c r="AB79" s="62">
        <f>ROUND(IF(AQ79="1",BH79,0),2)</f>
      </c>
      <c r="AC79" s="62">
        <f>ROUND(IF(AQ79="1",BI79,0),2)</f>
      </c>
      <c r="AD79" s="62">
        <f>ROUND(IF(AQ79="7",BH79,0),2)</f>
      </c>
      <c r="AE79" s="62">
        <f>ROUND(IF(AQ79="7",BI79,0),2)</f>
      </c>
      <c r="AF79" s="62">
        <f>ROUND(IF(AQ79="2",BH79,0),2)</f>
      </c>
      <c r="AG79" s="62">
        <f>ROUND(IF(AQ79="2",BI79,0),2)</f>
      </c>
      <c r="AH79" s="62">
        <f>ROUND(IF(AQ79="0",BJ79,0),2)</f>
      </c>
      <c r="AI79" s="35" t="s">
        <v>55</v>
      </c>
      <c r="AJ79" s="62">
        <f>IF(AN79=0,K79,0)</f>
      </c>
      <c r="AK79" s="62">
        <f>IF(AN79=12,K79,0)</f>
      </c>
      <c r="AL79" s="62">
        <f>IF(AN79=21,K79,0)</f>
      </c>
      <c r="AN79" s="62" t="n">
        <v>21</v>
      </c>
      <c r="AO79" s="62">
        <f>H79*0.124123767</f>
      </c>
      <c r="AP79" s="62">
        <f>H79*(1-0.124123767)</f>
      </c>
      <c r="AQ79" s="65" t="s">
        <v>59</v>
      </c>
      <c r="AV79" s="62">
        <f>ROUND(AW79+AX79,2)</f>
      </c>
      <c r="AW79" s="62">
        <f>ROUND(G79*AO79,2)</f>
      </c>
      <c r="AX79" s="62">
        <f>ROUND(G79*AP79,2)</f>
      </c>
      <c r="AY79" s="65" t="s">
        <v>187</v>
      </c>
      <c r="AZ79" s="65" t="s">
        <v>162</v>
      </c>
      <c r="BA79" s="35" t="s">
        <v>66</v>
      </c>
      <c r="BC79" s="62">
        <f>AW79+AX79</f>
      </c>
      <c r="BD79" s="62">
        <f>H79/(100-BE79)*100</f>
      </c>
      <c r="BE79" s="62" t="n">
        <v>0</v>
      </c>
      <c r="BF79" s="62">
        <f>N79</f>
      </c>
      <c r="BH79" s="62">
        <f>G79*AO79</f>
      </c>
      <c r="BI79" s="62">
        <f>G79*AP79</f>
      </c>
      <c r="BJ79" s="62">
        <f>G79*H79</f>
      </c>
      <c r="BK79" s="65" t="s">
        <v>67</v>
      </c>
      <c r="BL79" s="62" t="n">
        <v>62</v>
      </c>
      <c r="BW79" s="62" t="n">
        <v>21</v>
      </c>
      <c r="BX79" s="16" t="s">
        <v>199</v>
      </c>
    </row>
    <row r="80" customHeight="true" ht="13.5">
      <c r="A80" s="66"/>
      <c r="C80" s="67" t="s">
        <v>68</v>
      </c>
      <c r="D80" s="68" t="s">
        <v>200</v>
      </c>
      <c r="E80" s="69"/>
      <c r="F80" s="69"/>
      <c r="G80" s="69"/>
      <c r="H80" s="70"/>
      <c r="I80" s="69"/>
      <c r="J80" s="69"/>
      <c r="K80" s="69"/>
      <c r="L80" s="69"/>
      <c r="M80" s="69"/>
      <c r="N80" s="69"/>
      <c r="O80" s="71"/>
    </row>
    <row r="81">
      <c r="A81" s="10" t="s">
        <v>201</v>
      </c>
      <c r="B81" s="11" t="s">
        <v>55</v>
      </c>
      <c r="C81" s="11" t="s">
        <v>202</v>
      </c>
      <c r="D81" s="16" t="s">
        <v>203</v>
      </c>
      <c r="E81" s="11"/>
      <c r="F81" s="11" t="s">
        <v>62</v>
      </c>
      <c r="G81" s="62" t="n">
        <v>99.2</v>
      </c>
      <c r="H81" s="63" t="n">
        <v>0</v>
      </c>
      <c r="I81" s="62">
        <f>ROUND(G81*AO81,2)</f>
      </c>
      <c r="J81" s="62">
        <f>ROUND(G81*AP81,2)</f>
      </c>
      <c r="K81" s="62">
        <f>ROUND(G81*H81,2)</f>
      </c>
      <c r="L81" s="62" t="n">
        <v>0.01903</v>
      </c>
      <c r="M81" s="62" t="n">
        <v>0.01903</v>
      </c>
      <c r="N81" s="62">
        <f>G81*M81</f>
      </c>
      <c r="O81" s="64" t="s">
        <v>63</v>
      </c>
      <c r="Z81" s="62">
        <f>ROUND(IF(AQ81="5",BJ81,0),2)</f>
      </c>
      <c r="AB81" s="62">
        <f>ROUND(IF(AQ81="1",BH81,0),2)</f>
      </c>
      <c r="AC81" s="62">
        <f>ROUND(IF(AQ81="1",BI81,0),2)</f>
      </c>
      <c r="AD81" s="62">
        <f>ROUND(IF(AQ81="7",BH81,0),2)</f>
      </c>
      <c r="AE81" s="62">
        <f>ROUND(IF(AQ81="7",BI81,0),2)</f>
      </c>
      <c r="AF81" s="62">
        <f>ROUND(IF(AQ81="2",BH81,0),2)</f>
      </c>
      <c r="AG81" s="62">
        <f>ROUND(IF(AQ81="2",BI81,0),2)</f>
      </c>
      <c r="AH81" s="62">
        <f>ROUND(IF(AQ81="0",BJ81,0),2)</f>
      </c>
      <c r="AI81" s="35" t="s">
        <v>55</v>
      </c>
      <c r="AJ81" s="62">
        <f>IF(AN81=0,K81,0)</f>
      </c>
      <c r="AK81" s="62">
        <f>IF(AN81=12,K81,0)</f>
      </c>
      <c r="AL81" s="62">
        <f>IF(AN81=21,K81,0)</f>
      </c>
      <c r="AN81" s="62" t="n">
        <v>21</v>
      </c>
      <c r="AO81" s="62">
        <f>H81*0.089694384</f>
      </c>
      <c r="AP81" s="62">
        <f>H81*(1-0.089694384)</f>
      </c>
      <c r="AQ81" s="65" t="s">
        <v>59</v>
      </c>
      <c r="AV81" s="62">
        <f>ROUND(AW81+AX81,2)</f>
      </c>
      <c r="AW81" s="62">
        <f>ROUND(G81*AO81,2)</f>
      </c>
      <c r="AX81" s="62">
        <f>ROUND(G81*AP81,2)</f>
      </c>
      <c r="AY81" s="65" t="s">
        <v>187</v>
      </c>
      <c r="AZ81" s="65" t="s">
        <v>162</v>
      </c>
      <c r="BA81" s="35" t="s">
        <v>66</v>
      </c>
      <c r="BC81" s="62">
        <f>AW81+AX81</f>
      </c>
      <c r="BD81" s="62">
        <f>H81/(100-BE81)*100</f>
      </c>
      <c r="BE81" s="62" t="n">
        <v>0</v>
      </c>
      <c r="BF81" s="62">
        <f>N81</f>
      </c>
      <c r="BH81" s="62">
        <f>G81*AO81</f>
      </c>
      <c r="BI81" s="62">
        <f>G81*AP81</f>
      </c>
      <c r="BJ81" s="62">
        <f>G81*H81</f>
      </c>
      <c r="BK81" s="65" t="s">
        <v>67</v>
      </c>
      <c r="BL81" s="62" t="n">
        <v>62</v>
      </c>
      <c r="BW81" s="62" t="n">
        <v>21</v>
      </c>
      <c r="BX81" s="16" t="s">
        <v>203</v>
      </c>
    </row>
    <row r="82">
      <c r="A82" s="66"/>
      <c r="D82" s="72" t="s">
        <v>204</v>
      </c>
      <c r="E82" s="73" t="s">
        <v>54</v>
      </c>
      <c r="G82" s="74" t="n">
        <v>99.2</v>
      </c>
      <c r="O82" s="75"/>
    </row>
    <row r="83">
      <c r="A83" s="10" t="s">
        <v>205</v>
      </c>
      <c r="B83" s="11" t="s">
        <v>55</v>
      </c>
      <c r="C83" s="11" t="s">
        <v>206</v>
      </c>
      <c r="D83" s="16" t="s">
        <v>207</v>
      </c>
      <c r="E83" s="11"/>
      <c r="F83" s="11" t="s">
        <v>62</v>
      </c>
      <c r="G83" s="62" t="n">
        <v>76.5</v>
      </c>
      <c r="H83" s="63" t="n">
        <v>0</v>
      </c>
      <c r="I83" s="62">
        <f>ROUND(G83*AO83,2)</f>
      </c>
      <c r="J83" s="62">
        <f>ROUND(G83*AP83,2)</f>
      </c>
      <c r="K83" s="62">
        <f>ROUND(G83*H83,2)</f>
      </c>
      <c r="L83" s="62" t="n">
        <v>0.00063</v>
      </c>
      <c r="M83" s="62" t="n">
        <v>0.00063</v>
      </c>
      <c r="N83" s="62">
        <f>G83*M83</f>
      </c>
      <c r="O83" s="64" t="s">
        <v>63</v>
      </c>
      <c r="Z83" s="62">
        <f>ROUND(IF(AQ83="5",BJ83,0),2)</f>
      </c>
      <c r="AB83" s="62">
        <f>ROUND(IF(AQ83="1",BH83,0),2)</f>
      </c>
      <c r="AC83" s="62">
        <f>ROUND(IF(AQ83="1",BI83,0),2)</f>
      </c>
      <c r="AD83" s="62">
        <f>ROUND(IF(AQ83="7",BH83,0),2)</f>
      </c>
      <c r="AE83" s="62">
        <f>ROUND(IF(AQ83="7",BI83,0),2)</f>
      </c>
      <c r="AF83" s="62">
        <f>ROUND(IF(AQ83="2",BH83,0),2)</f>
      </c>
      <c r="AG83" s="62">
        <f>ROUND(IF(AQ83="2",BI83,0),2)</f>
      </c>
      <c r="AH83" s="62">
        <f>ROUND(IF(AQ83="0",BJ83,0),2)</f>
      </c>
      <c r="AI83" s="35" t="s">
        <v>55</v>
      </c>
      <c r="AJ83" s="62">
        <f>IF(AN83=0,K83,0)</f>
      </c>
      <c r="AK83" s="62">
        <f>IF(AN83=12,K83,0)</f>
      </c>
      <c r="AL83" s="62">
        <f>IF(AN83=21,K83,0)</f>
      </c>
      <c r="AN83" s="62" t="n">
        <v>21</v>
      </c>
      <c r="AO83" s="62">
        <f>H83*0.577174439</f>
      </c>
      <c r="AP83" s="62">
        <f>H83*(1-0.577174439)</f>
      </c>
      <c r="AQ83" s="65" t="s">
        <v>59</v>
      </c>
      <c r="AV83" s="62">
        <f>ROUND(AW83+AX83,2)</f>
      </c>
      <c r="AW83" s="62">
        <f>ROUND(G83*AO83,2)</f>
      </c>
      <c r="AX83" s="62">
        <f>ROUND(G83*AP83,2)</f>
      </c>
      <c r="AY83" s="65" t="s">
        <v>187</v>
      </c>
      <c r="AZ83" s="65" t="s">
        <v>162</v>
      </c>
      <c r="BA83" s="35" t="s">
        <v>66</v>
      </c>
      <c r="BC83" s="62">
        <f>AW83+AX83</f>
      </c>
      <c r="BD83" s="62">
        <f>H83/(100-BE83)*100</f>
      </c>
      <c r="BE83" s="62" t="n">
        <v>0</v>
      </c>
      <c r="BF83" s="62">
        <f>N83</f>
      </c>
      <c r="BH83" s="62">
        <f>G83*AO83</f>
      </c>
      <c r="BI83" s="62">
        <f>G83*AP83</f>
      </c>
      <c r="BJ83" s="62">
        <f>G83*H83</f>
      </c>
      <c r="BK83" s="65" t="s">
        <v>67</v>
      </c>
      <c r="BL83" s="62" t="n">
        <v>62</v>
      </c>
      <c r="BW83" s="62" t="n">
        <v>21</v>
      </c>
      <c r="BX83" s="16" t="s">
        <v>207</v>
      </c>
    </row>
    <row r="84" customHeight="true" ht="13.5">
      <c r="A84" s="66"/>
      <c r="C84" s="67" t="s">
        <v>68</v>
      </c>
      <c r="D84" s="68" t="s">
        <v>208</v>
      </c>
      <c r="E84" s="69"/>
      <c r="F84" s="69"/>
      <c r="G84" s="69"/>
      <c r="H84" s="70"/>
      <c r="I84" s="69"/>
      <c r="J84" s="69"/>
      <c r="K84" s="69"/>
      <c r="L84" s="69"/>
      <c r="M84" s="69"/>
      <c r="N84" s="69"/>
      <c r="O84" s="71"/>
    </row>
    <row r="85">
      <c r="A85" s="66"/>
      <c r="D85" s="72" t="s">
        <v>209</v>
      </c>
      <c r="E85" s="73" t="s">
        <v>54</v>
      </c>
      <c r="G85" s="74" t="n">
        <v>76.5</v>
      </c>
      <c r="O85" s="75"/>
    </row>
    <row r="86" customHeight="true" ht="13.5">
      <c r="A86" s="66"/>
      <c r="C86" s="76" t="s">
        <v>71</v>
      </c>
      <c r="D86" s="77" t="s">
        <v>210</v>
      </c>
      <c r="E86" s="78"/>
      <c r="F86" s="78"/>
      <c r="G86" s="78"/>
      <c r="H86" s="79"/>
      <c r="I86" s="78"/>
      <c r="J86" s="78"/>
      <c r="K86" s="78"/>
      <c r="L86" s="78"/>
      <c r="M86" s="78"/>
      <c r="N86" s="78"/>
      <c r="O86" s="80"/>
    </row>
    <row r="87">
      <c r="A87" s="10" t="s">
        <v>211</v>
      </c>
      <c r="B87" s="11" t="s">
        <v>55</v>
      </c>
      <c r="C87" s="11" t="s">
        <v>212</v>
      </c>
      <c r="D87" s="16" t="s">
        <v>213</v>
      </c>
      <c r="E87" s="11"/>
      <c r="F87" s="11" t="s">
        <v>62</v>
      </c>
      <c r="G87" s="62" t="n">
        <v>119.4</v>
      </c>
      <c r="H87" s="63" t="n">
        <v>0</v>
      </c>
      <c r="I87" s="62">
        <f>ROUND(G87*AO87,2)</f>
      </c>
      <c r="J87" s="62">
        <f>ROUND(G87*AP87,2)</f>
      </c>
      <c r="K87" s="62">
        <f>ROUND(G87*H87,2)</f>
      </c>
      <c r="L87" s="62" t="n">
        <v>0.00072</v>
      </c>
      <c r="M87" s="62" t="n">
        <v>0.00072</v>
      </c>
      <c r="N87" s="62">
        <f>G87*M87</f>
      </c>
      <c r="O87" s="64" t="s">
        <v>63</v>
      </c>
      <c r="Z87" s="62">
        <f>ROUND(IF(AQ87="5",BJ87,0),2)</f>
      </c>
      <c r="AB87" s="62">
        <f>ROUND(IF(AQ87="1",BH87,0),2)</f>
      </c>
      <c r="AC87" s="62">
        <f>ROUND(IF(AQ87="1",BI87,0),2)</f>
      </c>
      <c r="AD87" s="62">
        <f>ROUND(IF(AQ87="7",BH87,0),2)</f>
      </c>
      <c r="AE87" s="62">
        <f>ROUND(IF(AQ87="7",BI87,0),2)</f>
      </c>
      <c r="AF87" s="62">
        <f>ROUND(IF(AQ87="2",BH87,0),2)</f>
      </c>
      <c r="AG87" s="62">
        <f>ROUND(IF(AQ87="2",BI87,0),2)</f>
      </c>
      <c r="AH87" s="62">
        <f>ROUND(IF(AQ87="0",BJ87,0),2)</f>
      </c>
      <c r="AI87" s="35" t="s">
        <v>55</v>
      </c>
      <c r="AJ87" s="62">
        <f>IF(AN87=0,K87,0)</f>
      </c>
      <c r="AK87" s="62">
        <f>IF(AN87=12,K87,0)</f>
      </c>
      <c r="AL87" s="62">
        <f>IF(AN87=21,K87,0)</f>
      </c>
      <c r="AN87" s="62" t="n">
        <v>21</v>
      </c>
      <c r="AO87" s="62">
        <f>H87*0.57702986</f>
      </c>
      <c r="AP87" s="62">
        <f>H87*(1-0.57702986)</f>
      </c>
      <c r="AQ87" s="65" t="s">
        <v>59</v>
      </c>
      <c r="AV87" s="62">
        <f>ROUND(AW87+AX87,2)</f>
      </c>
      <c r="AW87" s="62">
        <f>ROUND(G87*AO87,2)</f>
      </c>
      <c r="AX87" s="62">
        <f>ROUND(G87*AP87,2)</f>
      </c>
      <c r="AY87" s="65" t="s">
        <v>187</v>
      </c>
      <c r="AZ87" s="65" t="s">
        <v>162</v>
      </c>
      <c r="BA87" s="35" t="s">
        <v>66</v>
      </c>
      <c r="BC87" s="62">
        <f>AW87+AX87</f>
      </c>
      <c r="BD87" s="62">
        <f>H87/(100-BE87)*100</f>
      </c>
      <c r="BE87" s="62" t="n">
        <v>0</v>
      </c>
      <c r="BF87" s="62">
        <f>N87</f>
      </c>
      <c r="BH87" s="62">
        <f>G87*AO87</f>
      </c>
      <c r="BI87" s="62">
        <f>G87*AP87</f>
      </c>
      <c r="BJ87" s="62">
        <f>G87*H87</f>
      </c>
      <c r="BK87" s="65" t="s">
        <v>67</v>
      </c>
      <c r="BL87" s="62" t="n">
        <v>62</v>
      </c>
      <c r="BW87" s="62" t="n">
        <v>21</v>
      </c>
      <c r="BX87" s="16" t="s">
        <v>213</v>
      </c>
    </row>
    <row r="88" customHeight="true" ht="13.5">
      <c r="A88" s="66"/>
      <c r="C88" s="67" t="s">
        <v>68</v>
      </c>
      <c r="D88" s="68" t="s">
        <v>208</v>
      </c>
      <c r="E88" s="69"/>
      <c r="F88" s="69"/>
      <c r="G88" s="69"/>
      <c r="H88" s="70"/>
      <c r="I88" s="69"/>
      <c r="J88" s="69"/>
      <c r="K88" s="69"/>
      <c r="L88" s="69"/>
      <c r="M88" s="69"/>
      <c r="N88" s="69"/>
      <c r="O88" s="71"/>
    </row>
    <row r="89">
      <c r="A89" s="66"/>
      <c r="D89" s="72" t="s">
        <v>214</v>
      </c>
      <c r="E89" s="73" t="s">
        <v>54</v>
      </c>
      <c r="G89" s="74" t="n">
        <v>119.4</v>
      </c>
      <c r="O89" s="75"/>
    </row>
    <row r="90" customHeight="true" ht="13.5">
      <c r="A90" s="66"/>
      <c r="C90" s="76" t="s">
        <v>71</v>
      </c>
      <c r="D90" s="77" t="s">
        <v>210</v>
      </c>
      <c r="E90" s="78"/>
      <c r="F90" s="78"/>
      <c r="G90" s="78"/>
      <c r="H90" s="79"/>
      <c r="I90" s="78"/>
      <c r="J90" s="78"/>
      <c r="K90" s="78"/>
      <c r="L90" s="78"/>
      <c r="M90" s="78"/>
      <c r="N90" s="78"/>
      <c r="O90" s="80"/>
    </row>
    <row r="91">
      <c r="A91" s="10" t="s">
        <v>215</v>
      </c>
      <c r="B91" s="11" t="s">
        <v>55</v>
      </c>
      <c r="C91" s="11" t="s">
        <v>216</v>
      </c>
      <c r="D91" s="16" t="s">
        <v>217</v>
      </c>
      <c r="E91" s="11"/>
      <c r="F91" s="11" t="s">
        <v>62</v>
      </c>
      <c r="G91" s="62" t="n">
        <v>60</v>
      </c>
      <c r="H91" s="63" t="n">
        <v>0</v>
      </c>
      <c r="I91" s="62">
        <f>ROUND(G91*AO91,2)</f>
      </c>
      <c r="J91" s="62">
        <f>ROUND(G91*AP91,2)</f>
      </c>
      <c r="K91" s="62">
        <f>ROUND(G91*H91,2)</f>
      </c>
      <c r="L91" s="62" t="n">
        <v>2E-5</v>
      </c>
      <c r="M91" s="62" t="n">
        <v>2E-5</v>
      </c>
      <c r="N91" s="62">
        <f>G91*M91</f>
      </c>
      <c r="O91" s="64" t="s">
        <v>63</v>
      </c>
      <c r="Z91" s="62">
        <f>ROUND(IF(AQ91="5",BJ91,0),2)</f>
      </c>
      <c r="AB91" s="62">
        <f>ROUND(IF(AQ91="1",BH91,0),2)</f>
      </c>
      <c r="AC91" s="62">
        <f>ROUND(IF(AQ91="1",BI91,0),2)</f>
      </c>
      <c r="AD91" s="62">
        <f>ROUND(IF(AQ91="7",BH91,0),2)</f>
      </c>
      <c r="AE91" s="62">
        <f>ROUND(IF(AQ91="7",BI91,0),2)</f>
      </c>
      <c r="AF91" s="62">
        <f>ROUND(IF(AQ91="2",BH91,0),2)</f>
      </c>
      <c r="AG91" s="62">
        <f>ROUND(IF(AQ91="2",BI91,0),2)</f>
      </c>
      <c r="AH91" s="62">
        <f>ROUND(IF(AQ91="0",BJ91,0),2)</f>
      </c>
      <c r="AI91" s="35" t="s">
        <v>55</v>
      </c>
      <c r="AJ91" s="62">
        <f>IF(AN91=0,K91,0)</f>
      </c>
      <c r="AK91" s="62">
        <f>IF(AN91=12,K91,0)</f>
      </c>
      <c r="AL91" s="62">
        <f>IF(AN91=21,K91,0)</f>
      </c>
      <c r="AN91" s="62" t="n">
        <v>21</v>
      </c>
      <c r="AO91" s="62">
        <f>H91*0.065385992</f>
      </c>
      <c r="AP91" s="62">
        <f>H91*(1-0.065385992)</f>
      </c>
      <c r="AQ91" s="65" t="s">
        <v>59</v>
      </c>
      <c r="AV91" s="62">
        <f>ROUND(AW91+AX91,2)</f>
      </c>
      <c r="AW91" s="62">
        <f>ROUND(G91*AO91,2)</f>
      </c>
      <c r="AX91" s="62">
        <f>ROUND(G91*AP91,2)</f>
      </c>
      <c r="AY91" s="65" t="s">
        <v>187</v>
      </c>
      <c r="AZ91" s="65" t="s">
        <v>162</v>
      </c>
      <c r="BA91" s="35" t="s">
        <v>66</v>
      </c>
      <c r="BC91" s="62">
        <f>AW91+AX91</f>
      </c>
      <c r="BD91" s="62">
        <f>H91/(100-BE91)*100</f>
      </c>
      <c r="BE91" s="62" t="n">
        <v>0</v>
      </c>
      <c r="BF91" s="62">
        <f>N91</f>
      </c>
      <c r="BH91" s="62">
        <f>G91*AO91</f>
      </c>
      <c r="BI91" s="62">
        <f>G91*AP91</f>
      </c>
      <c r="BJ91" s="62">
        <f>G91*H91</f>
      </c>
      <c r="BK91" s="65" t="s">
        <v>67</v>
      </c>
      <c r="BL91" s="62" t="n">
        <v>62</v>
      </c>
      <c r="BW91" s="62" t="n">
        <v>21</v>
      </c>
      <c r="BX91" s="16" t="s">
        <v>217</v>
      </c>
    </row>
    <row r="92" customHeight="true" ht="13.5">
      <c r="A92" s="66"/>
      <c r="C92" s="67" t="s">
        <v>68</v>
      </c>
      <c r="D92" s="68" t="s">
        <v>218</v>
      </c>
      <c r="E92" s="69"/>
      <c r="F92" s="69"/>
      <c r="G92" s="69"/>
      <c r="H92" s="70"/>
      <c r="I92" s="69"/>
      <c r="J92" s="69"/>
      <c r="K92" s="69"/>
      <c r="L92" s="69"/>
      <c r="M92" s="69"/>
      <c r="N92" s="69"/>
      <c r="O92" s="71"/>
    </row>
    <row r="93">
      <c r="A93" s="56" t="s">
        <v>54</v>
      </c>
      <c r="B93" s="57" t="s">
        <v>55</v>
      </c>
      <c r="C93" s="57" t="s">
        <v>219</v>
      </c>
      <c r="D93" s="58" t="s">
        <v>220</v>
      </c>
      <c r="E93" s="57"/>
      <c r="F93" s="59" t="s">
        <v>4</v>
      </c>
      <c r="G93" s="59" t="s">
        <v>4</v>
      </c>
      <c r="H93" s="60" t="s">
        <v>4</v>
      </c>
      <c r="I93" s="2">
        <f>SUM(I94:I94)</f>
      </c>
      <c r="J93" s="2">
        <f>SUM(J94:J94)</f>
      </c>
      <c r="K93" s="2">
        <f>SUM(K94:K94)</f>
      </c>
      <c r="L93" s="35" t="s">
        <v>54</v>
      </c>
      <c r="M93" s="35" t="s">
        <v>54</v>
      </c>
      <c r="N93" s="2">
        <f>SUM(N94:N94)</f>
      </c>
      <c r="O93" s="61" t="s">
        <v>54</v>
      </c>
      <c r="AI93" s="35" t="s">
        <v>55</v>
      </c>
      <c r="AS93" s="2">
        <f>SUM(AJ94:AJ94)</f>
      </c>
      <c r="AT93" s="2">
        <f>SUM(AK94:AK94)</f>
      </c>
      <c r="AU93" s="2">
        <f>SUM(AL94:AL94)</f>
      </c>
    </row>
    <row r="94">
      <c r="A94" s="10" t="s">
        <v>221</v>
      </c>
      <c r="B94" s="11" t="s">
        <v>55</v>
      </c>
      <c r="C94" s="11" t="s">
        <v>222</v>
      </c>
      <c r="D94" s="16" t="s">
        <v>223</v>
      </c>
      <c r="E94" s="11"/>
      <c r="F94" s="11" t="s">
        <v>62</v>
      </c>
      <c r="G94" s="62" t="n">
        <v>2.27</v>
      </c>
      <c r="H94" s="63" t="n">
        <v>0</v>
      </c>
      <c r="I94" s="62">
        <f>ROUND(G94*AO94,2)</f>
      </c>
      <c r="J94" s="62">
        <f>ROUND(G94*AP94,2)</f>
      </c>
      <c r="K94" s="62">
        <f>ROUND(G94*H94,2)</f>
      </c>
      <c r="L94" s="62" t="n">
        <v>0.10238</v>
      </c>
      <c r="M94" s="62" t="n">
        <v>0.10238</v>
      </c>
      <c r="N94" s="62">
        <f>G94*M94</f>
      </c>
      <c r="O94" s="64" t="s">
        <v>63</v>
      </c>
      <c r="Z94" s="62">
        <f>ROUND(IF(AQ94="5",BJ94,0),2)</f>
      </c>
      <c r="AB94" s="62">
        <f>ROUND(IF(AQ94="1",BH94,0),2)</f>
      </c>
      <c r="AC94" s="62">
        <f>ROUND(IF(AQ94="1",BI94,0),2)</f>
      </c>
      <c r="AD94" s="62">
        <f>ROUND(IF(AQ94="7",BH94,0),2)</f>
      </c>
      <c r="AE94" s="62">
        <f>ROUND(IF(AQ94="7",BI94,0),2)</f>
      </c>
      <c r="AF94" s="62">
        <f>ROUND(IF(AQ94="2",BH94,0),2)</f>
      </c>
      <c r="AG94" s="62">
        <f>ROUND(IF(AQ94="2",BI94,0),2)</f>
      </c>
      <c r="AH94" s="62">
        <f>ROUND(IF(AQ94="0",BJ94,0),2)</f>
      </c>
      <c r="AI94" s="35" t="s">
        <v>55</v>
      </c>
      <c r="AJ94" s="62">
        <f>IF(AN94=0,K94,0)</f>
      </c>
      <c r="AK94" s="62">
        <f>IF(AN94=12,K94,0)</f>
      </c>
      <c r="AL94" s="62">
        <f>IF(AN94=21,K94,0)</f>
      </c>
      <c r="AN94" s="62" t="n">
        <v>21</v>
      </c>
      <c r="AO94" s="62">
        <f>H94*0.854566268</f>
      </c>
      <c r="AP94" s="62">
        <f>H94*(1-0.854566268)</f>
      </c>
      <c r="AQ94" s="65" t="s">
        <v>59</v>
      </c>
      <c r="AV94" s="62">
        <f>ROUND(AW94+AX94,2)</f>
      </c>
      <c r="AW94" s="62">
        <f>ROUND(G94*AO94,2)</f>
      </c>
      <c r="AX94" s="62">
        <f>ROUND(G94*AP94,2)</f>
      </c>
      <c r="AY94" s="65" t="s">
        <v>224</v>
      </c>
      <c r="AZ94" s="65" t="s">
        <v>162</v>
      </c>
      <c r="BA94" s="35" t="s">
        <v>66</v>
      </c>
      <c r="BC94" s="62">
        <f>AW94+AX94</f>
      </c>
      <c r="BD94" s="62">
        <f>H94/(100-BE94)*100</f>
      </c>
      <c r="BE94" s="62" t="n">
        <v>0</v>
      </c>
      <c r="BF94" s="62">
        <f>N94</f>
      </c>
      <c r="BH94" s="62">
        <f>G94*AO94</f>
      </c>
      <c r="BI94" s="62">
        <f>G94*AP94</f>
      </c>
      <c r="BJ94" s="62">
        <f>G94*H94</f>
      </c>
      <c r="BK94" s="65" t="s">
        <v>67</v>
      </c>
      <c r="BL94" s="62" t="n">
        <v>63</v>
      </c>
      <c r="BW94" s="62" t="n">
        <v>21</v>
      </c>
      <c r="BX94" s="16" t="s">
        <v>223</v>
      </c>
    </row>
    <row r="95" customHeight="true" ht="13.5">
      <c r="A95" s="66"/>
      <c r="C95" s="67" t="s">
        <v>68</v>
      </c>
      <c r="D95" s="68" t="s">
        <v>225</v>
      </c>
      <c r="E95" s="69"/>
      <c r="F95" s="69"/>
      <c r="G95" s="69"/>
      <c r="H95" s="70"/>
      <c r="I95" s="69"/>
      <c r="J95" s="69"/>
      <c r="K95" s="69"/>
      <c r="L95" s="69"/>
      <c r="M95" s="69"/>
      <c r="N95" s="69"/>
      <c r="O95" s="71"/>
    </row>
    <row r="96">
      <c r="A96" s="66"/>
      <c r="D96" s="72" t="s">
        <v>226</v>
      </c>
      <c r="E96" s="73" t="s">
        <v>54</v>
      </c>
      <c r="G96" s="74" t="n">
        <v>2.27</v>
      </c>
      <c r="O96" s="75"/>
    </row>
    <row r="97" customHeight="true" ht="13.5">
      <c r="A97" s="66"/>
      <c r="C97" s="76" t="s">
        <v>71</v>
      </c>
      <c r="D97" s="77" t="s">
        <v>227</v>
      </c>
      <c r="E97" s="78"/>
      <c r="F97" s="78"/>
      <c r="G97" s="78"/>
      <c r="H97" s="79"/>
      <c r="I97" s="78"/>
      <c r="J97" s="78"/>
      <c r="K97" s="78"/>
      <c r="L97" s="78"/>
      <c r="M97" s="78"/>
      <c r="N97" s="78"/>
      <c r="O97" s="80"/>
    </row>
    <row r="98">
      <c r="A98" s="56" t="s">
        <v>54</v>
      </c>
      <c r="B98" s="57" t="s">
        <v>55</v>
      </c>
      <c r="C98" s="57" t="s">
        <v>228</v>
      </c>
      <c r="D98" s="58" t="s">
        <v>229</v>
      </c>
      <c r="E98" s="57"/>
      <c r="F98" s="59" t="s">
        <v>4</v>
      </c>
      <c r="G98" s="59" t="s">
        <v>4</v>
      </c>
      <c r="H98" s="60" t="s">
        <v>4</v>
      </c>
      <c r="I98" s="2">
        <f>SUM(I99:I120)</f>
      </c>
      <c r="J98" s="2">
        <f>SUM(J99:J120)</f>
      </c>
      <c r="K98" s="2">
        <f>SUM(K99:K120)</f>
      </c>
      <c r="L98" s="35" t="s">
        <v>54</v>
      </c>
      <c r="M98" s="35" t="s">
        <v>54</v>
      </c>
      <c r="N98" s="2">
        <f>SUM(N99:N120)</f>
      </c>
      <c r="O98" s="61" t="s">
        <v>54</v>
      </c>
      <c r="AI98" s="35" t="s">
        <v>55</v>
      </c>
      <c r="AS98" s="2">
        <f>SUM(AJ99:AJ120)</f>
      </c>
      <c r="AT98" s="2">
        <f>SUM(AK99:AK120)</f>
      </c>
      <c r="AU98" s="2">
        <f>SUM(AL99:AL120)</f>
      </c>
    </row>
    <row r="99">
      <c r="A99" s="10" t="s">
        <v>230</v>
      </c>
      <c r="B99" s="11" t="s">
        <v>55</v>
      </c>
      <c r="C99" s="11" t="s">
        <v>231</v>
      </c>
      <c r="D99" s="16" t="s">
        <v>232</v>
      </c>
      <c r="E99" s="11"/>
      <c r="F99" s="11" t="s">
        <v>114</v>
      </c>
      <c r="G99" s="62" t="n">
        <v>2.4</v>
      </c>
      <c r="H99" s="63" t="n">
        <v>0</v>
      </c>
      <c r="I99" s="62">
        <f>ROUND(G99*AO99,2)</f>
      </c>
      <c r="J99" s="62">
        <f>ROUND(G99*AP99,2)</f>
      </c>
      <c r="K99" s="62">
        <f>ROUND(G99*H99,2)</f>
      </c>
      <c r="L99" s="62" t="n">
        <v>0</v>
      </c>
      <c r="M99" s="62" t="n">
        <v>0.00135</v>
      </c>
      <c r="N99" s="62">
        <f>G99*M99</f>
      </c>
      <c r="O99" s="64" t="s">
        <v>63</v>
      </c>
      <c r="Z99" s="62">
        <f>ROUND(IF(AQ99="5",BJ99,0),2)</f>
      </c>
      <c r="AB99" s="62">
        <f>ROUND(IF(AQ99="1",BH99,0),2)</f>
      </c>
      <c r="AC99" s="62">
        <f>ROUND(IF(AQ99="1",BI99,0),2)</f>
      </c>
      <c r="AD99" s="62">
        <f>ROUND(IF(AQ99="7",BH99,0),2)</f>
      </c>
      <c r="AE99" s="62">
        <f>ROUND(IF(AQ99="7",BI99,0),2)</f>
      </c>
      <c r="AF99" s="62">
        <f>ROUND(IF(AQ99="2",BH99,0),2)</f>
      </c>
      <c r="AG99" s="62">
        <f>ROUND(IF(AQ99="2",BI99,0),2)</f>
      </c>
      <c r="AH99" s="62">
        <f>ROUND(IF(AQ99="0",BJ99,0),2)</f>
      </c>
      <c r="AI99" s="35" t="s">
        <v>55</v>
      </c>
      <c r="AJ99" s="62">
        <f>IF(AN99=0,K99,0)</f>
      </c>
      <c r="AK99" s="62">
        <f>IF(AN99=12,K99,0)</f>
      </c>
      <c r="AL99" s="62">
        <f>IF(AN99=21,K99,0)</f>
      </c>
      <c r="AN99" s="62" t="n">
        <v>21</v>
      </c>
      <c r="AO99" s="62">
        <f>H99*0</f>
      </c>
      <c r="AP99" s="62">
        <f>H99*(1-0)</f>
      </c>
      <c r="AQ99" s="65" t="s">
        <v>100</v>
      </c>
      <c r="AV99" s="62">
        <f>ROUND(AW99+AX99,2)</f>
      </c>
      <c r="AW99" s="62">
        <f>ROUND(G99*AO99,2)</f>
      </c>
      <c r="AX99" s="62">
        <f>ROUND(G99*AP99,2)</f>
      </c>
      <c r="AY99" s="65" t="s">
        <v>233</v>
      </c>
      <c r="AZ99" s="65" t="s">
        <v>234</v>
      </c>
      <c r="BA99" s="35" t="s">
        <v>66</v>
      </c>
      <c r="BC99" s="62">
        <f>AW99+AX99</f>
      </c>
      <c r="BD99" s="62">
        <f>H99/(100-BE99)*100</f>
      </c>
      <c r="BE99" s="62" t="n">
        <v>0</v>
      </c>
      <c r="BF99" s="62">
        <f>N99</f>
      </c>
      <c r="BH99" s="62">
        <f>G99*AO99</f>
      </c>
      <c r="BI99" s="62">
        <f>G99*AP99</f>
      </c>
      <c r="BJ99" s="62">
        <f>G99*H99</f>
      </c>
      <c r="BK99" s="65" t="s">
        <v>67</v>
      </c>
      <c r="BL99" s="62" t="n">
        <v>764</v>
      </c>
      <c r="BW99" s="62" t="n">
        <v>21</v>
      </c>
      <c r="BX99" s="16" t="s">
        <v>232</v>
      </c>
    </row>
    <row r="100" customHeight="true" ht="13.5">
      <c r="A100" s="66"/>
      <c r="C100" s="67" t="s">
        <v>68</v>
      </c>
      <c r="D100" s="68" t="s">
        <v>235</v>
      </c>
      <c r="E100" s="69"/>
      <c r="F100" s="69"/>
      <c r="G100" s="69"/>
      <c r="H100" s="70"/>
      <c r="I100" s="69"/>
      <c r="J100" s="69"/>
      <c r="K100" s="69"/>
      <c r="L100" s="69"/>
      <c r="M100" s="69"/>
      <c r="N100" s="69"/>
      <c r="O100" s="71"/>
    </row>
    <row r="101">
      <c r="A101" s="66"/>
      <c r="D101" s="72" t="s">
        <v>236</v>
      </c>
      <c r="E101" s="73" t="s">
        <v>54</v>
      </c>
      <c r="G101" s="74" t="n">
        <v>2.4</v>
      </c>
      <c r="O101" s="75"/>
    </row>
    <row r="102">
      <c r="A102" s="10" t="s">
        <v>237</v>
      </c>
      <c r="B102" s="11" t="s">
        <v>55</v>
      </c>
      <c r="C102" s="11" t="s">
        <v>238</v>
      </c>
      <c r="D102" s="16" t="s">
        <v>239</v>
      </c>
      <c r="E102" s="11"/>
      <c r="F102" s="11" t="s">
        <v>114</v>
      </c>
      <c r="G102" s="62" t="n">
        <v>9.45</v>
      </c>
      <c r="H102" s="63" t="n">
        <v>0</v>
      </c>
      <c r="I102" s="62">
        <f>ROUND(G102*AO102,2)</f>
      </c>
      <c r="J102" s="62">
        <f>ROUND(G102*AP102,2)</f>
      </c>
      <c r="K102" s="62">
        <f>ROUND(G102*H102,2)</f>
      </c>
      <c r="L102" s="62" t="n">
        <v>0</v>
      </c>
      <c r="M102" s="62" t="n">
        <v>0.00287</v>
      </c>
      <c r="N102" s="62">
        <f>G102*M102</f>
      </c>
      <c r="O102" s="64" t="s">
        <v>63</v>
      </c>
      <c r="Z102" s="62">
        <f>ROUND(IF(AQ102="5",BJ102,0),2)</f>
      </c>
      <c r="AB102" s="62">
        <f>ROUND(IF(AQ102="1",BH102,0),2)</f>
      </c>
      <c r="AC102" s="62">
        <f>ROUND(IF(AQ102="1",BI102,0),2)</f>
      </c>
      <c r="AD102" s="62">
        <f>ROUND(IF(AQ102="7",BH102,0),2)</f>
      </c>
      <c r="AE102" s="62">
        <f>ROUND(IF(AQ102="7",BI102,0),2)</f>
      </c>
      <c r="AF102" s="62">
        <f>ROUND(IF(AQ102="2",BH102,0),2)</f>
      </c>
      <c r="AG102" s="62">
        <f>ROUND(IF(AQ102="2",BI102,0),2)</f>
      </c>
      <c r="AH102" s="62">
        <f>ROUND(IF(AQ102="0",BJ102,0),2)</f>
      </c>
      <c r="AI102" s="35" t="s">
        <v>55</v>
      </c>
      <c r="AJ102" s="62">
        <f>IF(AN102=0,K102,0)</f>
      </c>
      <c r="AK102" s="62">
        <f>IF(AN102=12,K102,0)</f>
      </c>
      <c r="AL102" s="62">
        <f>IF(AN102=21,K102,0)</f>
      </c>
      <c r="AN102" s="62" t="n">
        <v>21</v>
      </c>
      <c r="AO102" s="62">
        <f>H102*0</f>
      </c>
      <c r="AP102" s="62">
        <f>H102*(1-0)</f>
      </c>
      <c r="AQ102" s="65" t="s">
        <v>100</v>
      </c>
      <c r="AV102" s="62">
        <f>ROUND(AW102+AX102,2)</f>
      </c>
      <c r="AW102" s="62">
        <f>ROUND(G102*AO102,2)</f>
      </c>
      <c r="AX102" s="62">
        <f>ROUND(G102*AP102,2)</f>
      </c>
      <c r="AY102" s="65" t="s">
        <v>233</v>
      </c>
      <c r="AZ102" s="65" t="s">
        <v>234</v>
      </c>
      <c r="BA102" s="35" t="s">
        <v>66</v>
      </c>
      <c r="BC102" s="62">
        <f>AW102+AX102</f>
      </c>
      <c r="BD102" s="62">
        <f>H102/(100-BE102)*100</f>
      </c>
      <c r="BE102" s="62" t="n">
        <v>0</v>
      </c>
      <c r="BF102" s="62">
        <f>N102</f>
      </c>
      <c r="BH102" s="62">
        <f>G102*AO102</f>
      </c>
      <c r="BI102" s="62">
        <f>G102*AP102</f>
      </c>
      <c r="BJ102" s="62">
        <f>G102*H102</f>
      </c>
      <c r="BK102" s="65" t="s">
        <v>67</v>
      </c>
      <c r="BL102" s="62" t="n">
        <v>764</v>
      </c>
      <c r="BW102" s="62" t="n">
        <v>21</v>
      </c>
      <c r="BX102" s="16" t="s">
        <v>239</v>
      </c>
    </row>
    <row r="103" customHeight="true" ht="13.5">
      <c r="A103" s="66"/>
      <c r="C103" s="67" t="s">
        <v>68</v>
      </c>
      <c r="D103" s="68" t="s">
        <v>240</v>
      </c>
      <c r="E103" s="69"/>
      <c r="F103" s="69"/>
      <c r="G103" s="69"/>
      <c r="H103" s="70"/>
      <c r="I103" s="69"/>
      <c r="J103" s="69"/>
      <c r="K103" s="69"/>
      <c r="L103" s="69"/>
      <c r="M103" s="69"/>
      <c r="N103" s="69"/>
      <c r="O103" s="71"/>
    </row>
    <row r="104">
      <c r="A104" s="66"/>
      <c r="D104" s="72" t="s">
        <v>241</v>
      </c>
      <c r="E104" s="73" t="s">
        <v>54</v>
      </c>
      <c r="G104" s="74" t="n">
        <v>9.45</v>
      </c>
      <c r="O104" s="75"/>
    </row>
    <row r="105">
      <c r="A105" s="10" t="s">
        <v>242</v>
      </c>
      <c r="B105" s="11" t="s">
        <v>55</v>
      </c>
      <c r="C105" s="11" t="s">
        <v>243</v>
      </c>
      <c r="D105" s="16" t="s">
        <v>244</v>
      </c>
      <c r="E105" s="11"/>
      <c r="F105" s="11" t="s">
        <v>114</v>
      </c>
      <c r="G105" s="62" t="n">
        <v>2.4</v>
      </c>
      <c r="H105" s="63" t="n">
        <v>0</v>
      </c>
      <c r="I105" s="62">
        <f>ROUND(G105*AO105,2)</f>
      </c>
      <c r="J105" s="62">
        <f>ROUND(G105*AP105,2)</f>
      </c>
      <c r="K105" s="62">
        <f>ROUND(G105*H105,2)</f>
      </c>
      <c r="L105" s="62" t="n">
        <v>0.00275</v>
      </c>
      <c r="M105" s="62" t="n">
        <v>0.00275</v>
      </c>
      <c r="N105" s="62">
        <f>G105*M105</f>
      </c>
      <c r="O105" s="64" t="s">
        <v>63</v>
      </c>
      <c r="Z105" s="62">
        <f>ROUND(IF(AQ105="5",BJ105,0),2)</f>
      </c>
      <c r="AB105" s="62">
        <f>ROUND(IF(AQ105="1",BH105,0),2)</f>
      </c>
      <c r="AC105" s="62">
        <f>ROUND(IF(AQ105="1",BI105,0),2)</f>
      </c>
      <c r="AD105" s="62">
        <f>ROUND(IF(AQ105="7",BH105,0),2)</f>
      </c>
      <c r="AE105" s="62">
        <f>ROUND(IF(AQ105="7",BI105,0),2)</f>
      </c>
      <c r="AF105" s="62">
        <f>ROUND(IF(AQ105="2",BH105,0),2)</f>
      </c>
      <c r="AG105" s="62">
        <f>ROUND(IF(AQ105="2",BI105,0),2)</f>
      </c>
      <c r="AH105" s="62">
        <f>ROUND(IF(AQ105="0",BJ105,0),2)</f>
      </c>
      <c r="AI105" s="35" t="s">
        <v>55</v>
      </c>
      <c r="AJ105" s="62">
        <f>IF(AN105=0,K105,0)</f>
      </c>
      <c r="AK105" s="62">
        <f>IF(AN105=12,K105,0)</f>
      </c>
      <c r="AL105" s="62">
        <f>IF(AN105=21,K105,0)</f>
      </c>
      <c r="AN105" s="62" t="n">
        <v>21</v>
      </c>
      <c r="AO105" s="62">
        <f>H105*0.244948025</f>
      </c>
      <c r="AP105" s="62">
        <f>H105*(1-0.244948025)</f>
      </c>
      <c r="AQ105" s="65" t="s">
        <v>100</v>
      </c>
      <c r="AV105" s="62">
        <f>ROUND(AW105+AX105,2)</f>
      </c>
      <c r="AW105" s="62">
        <f>ROUND(G105*AO105,2)</f>
      </c>
      <c r="AX105" s="62">
        <f>ROUND(G105*AP105,2)</f>
      </c>
      <c r="AY105" s="65" t="s">
        <v>233</v>
      </c>
      <c r="AZ105" s="65" t="s">
        <v>234</v>
      </c>
      <c r="BA105" s="35" t="s">
        <v>66</v>
      </c>
      <c r="BC105" s="62">
        <f>AW105+AX105</f>
      </c>
      <c r="BD105" s="62">
        <f>H105/(100-BE105)*100</f>
      </c>
      <c r="BE105" s="62" t="n">
        <v>0</v>
      </c>
      <c r="BF105" s="62">
        <f>N105</f>
      </c>
      <c r="BH105" s="62">
        <f>G105*AO105</f>
      </c>
      <c r="BI105" s="62">
        <f>G105*AP105</f>
      </c>
      <c r="BJ105" s="62">
        <f>G105*H105</f>
      </c>
      <c r="BK105" s="65" t="s">
        <v>67</v>
      </c>
      <c r="BL105" s="62" t="n">
        <v>764</v>
      </c>
      <c r="BW105" s="62" t="n">
        <v>21</v>
      </c>
      <c r="BX105" s="16" t="s">
        <v>244</v>
      </c>
    </row>
    <row r="106">
      <c r="A106" s="66"/>
      <c r="D106" s="72" t="s">
        <v>236</v>
      </c>
      <c r="E106" s="73" t="s">
        <v>54</v>
      </c>
      <c r="G106" s="74" t="n">
        <v>2.4</v>
      </c>
      <c r="O106" s="75"/>
    </row>
    <row r="107">
      <c r="A107" s="10" t="s">
        <v>245</v>
      </c>
      <c r="B107" s="11" t="s">
        <v>55</v>
      </c>
      <c r="C107" s="11" t="s">
        <v>246</v>
      </c>
      <c r="D107" s="16" t="s">
        <v>247</v>
      </c>
      <c r="E107" s="11"/>
      <c r="F107" s="11" t="s">
        <v>114</v>
      </c>
      <c r="G107" s="62" t="n">
        <v>13.05</v>
      </c>
      <c r="H107" s="63" t="n">
        <v>0</v>
      </c>
      <c r="I107" s="62">
        <f>ROUND(G107*AO107,2)</f>
      </c>
      <c r="J107" s="62">
        <f>ROUND(G107*AP107,2)</f>
      </c>
      <c r="K107" s="62">
        <f>ROUND(G107*H107,2)</f>
      </c>
      <c r="L107" s="62" t="n">
        <v>0.00338</v>
      </c>
      <c r="M107" s="62" t="n">
        <v>0.00338</v>
      </c>
      <c r="N107" s="62">
        <f>G107*M107</f>
      </c>
      <c r="O107" s="64" t="s">
        <v>63</v>
      </c>
      <c r="Z107" s="62">
        <f>ROUND(IF(AQ107="5",BJ107,0),2)</f>
      </c>
      <c r="AB107" s="62">
        <f>ROUND(IF(AQ107="1",BH107,0),2)</f>
      </c>
      <c r="AC107" s="62">
        <f>ROUND(IF(AQ107="1",BI107,0),2)</f>
      </c>
      <c r="AD107" s="62">
        <f>ROUND(IF(AQ107="7",BH107,0),2)</f>
      </c>
      <c r="AE107" s="62">
        <f>ROUND(IF(AQ107="7",BI107,0),2)</f>
      </c>
      <c r="AF107" s="62">
        <f>ROUND(IF(AQ107="2",BH107,0),2)</f>
      </c>
      <c r="AG107" s="62">
        <f>ROUND(IF(AQ107="2",BI107,0),2)</f>
      </c>
      <c r="AH107" s="62">
        <f>ROUND(IF(AQ107="0",BJ107,0),2)</f>
      </c>
      <c r="AI107" s="35" t="s">
        <v>55</v>
      </c>
      <c r="AJ107" s="62">
        <f>IF(AN107=0,K107,0)</f>
      </c>
      <c r="AK107" s="62">
        <f>IF(AN107=12,K107,0)</f>
      </c>
      <c r="AL107" s="62">
        <f>IF(AN107=21,K107,0)</f>
      </c>
      <c r="AN107" s="62" t="n">
        <v>21</v>
      </c>
      <c r="AO107" s="62">
        <f>H107*0.268531263</f>
      </c>
      <c r="AP107" s="62">
        <f>H107*(1-0.268531263)</f>
      </c>
      <c r="AQ107" s="65" t="s">
        <v>100</v>
      </c>
      <c r="AV107" s="62">
        <f>ROUND(AW107+AX107,2)</f>
      </c>
      <c r="AW107" s="62">
        <f>ROUND(G107*AO107,2)</f>
      </c>
      <c r="AX107" s="62">
        <f>ROUND(G107*AP107,2)</f>
      </c>
      <c r="AY107" s="65" t="s">
        <v>233</v>
      </c>
      <c r="AZ107" s="65" t="s">
        <v>234</v>
      </c>
      <c r="BA107" s="35" t="s">
        <v>66</v>
      </c>
      <c r="BC107" s="62">
        <f>AW107+AX107</f>
      </c>
      <c r="BD107" s="62">
        <f>H107/(100-BE107)*100</f>
      </c>
      <c r="BE107" s="62" t="n">
        <v>0</v>
      </c>
      <c r="BF107" s="62">
        <f>N107</f>
      </c>
      <c r="BH107" s="62">
        <f>G107*AO107</f>
      </c>
      <c r="BI107" s="62">
        <f>G107*AP107</f>
      </c>
      <c r="BJ107" s="62">
        <f>G107*H107</f>
      </c>
      <c r="BK107" s="65" t="s">
        <v>67</v>
      </c>
      <c r="BL107" s="62" t="n">
        <v>764</v>
      </c>
      <c r="BW107" s="62" t="n">
        <v>21</v>
      </c>
      <c r="BX107" s="16" t="s">
        <v>247</v>
      </c>
    </row>
    <row r="108">
      <c r="A108" s="66"/>
      <c r="D108" s="72" t="s">
        <v>248</v>
      </c>
      <c r="E108" s="73" t="s">
        <v>54</v>
      </c>
      <c r="G108" s="74" t="n">
        <v>13.05</v>
      </c>
      <c r="O108" s="75"/>
    </row>
    <row r="109">
      <c r="A109" s="10" t="s">
        <v>98</v>
      </c>
      <c r="B109" s="11" t="s">
        <v>55</v>
      </c>
      <c r="C109" s="11" t="s">
        <v>249</v>
      </c>
      <c r="D109" s="16" t="s">
        <v>250</v>
      </c>
      <c r="E109" s="11"/>
      <c r="F109" s="11" t="s">
        <v>114</v>
      </c>
      <c r="G109" s="62" t="n">
        <v>4.8</v>
      </c>
      <c r="H109" s="63" t="n">
        <v>0</v>
      </c>
      <c r="I109" s="62">
        <f>ROUND(G109*AO109,2)</f>
      </c>
      <c r="J109" s="62">
        <f>ROUND(G109*AP109,2)</f>
      </c>
      <c r="K109" s="62">
        <f>ROUND(G109*H109,2)</f>
      </c>
      <c r="L109" s="62" t="n">
        <v>0.00267</v>
      </c>
      <c r="M109" s="62" t="n">
        <v>0.00267</v>
      </c>
      <c r="N109" s="62">
        <f>G109*M109</f>
      </c>
      <c r="O109" s="64" t="s">
        <v>63</v>
      </c>
      <c r="Z109" s="62">
        <f>ROUND(IF(AQ109="5",BJ109,0),2)</f>
      </c>
      <c r="AB109" s="62">
        <f>ROUND(IF(AQ109="1",BH109,0),2)</f>
      </c>
      <c r="AC109" s="62">
        <f>ROUND(IF(AQ109="1",BI109,0),2)</f>
      </c>
      <c r="AD109" s="62">
        <f>ROUND(IF(AQ109="7",BH109,0),2)</f>
      </c>
      <c r="AE109" s="62">
        <f>ROUND(IF(AQ109="7",BI109,0),2)</f>
      </c>
      <c r="AF109" s="62">
        <f>ROUND(IF(AQ109="2",BH109,0),2)</f>
      </c>
      <c r="AG109" s="62">
        <f>ROUND(IF(AQ109="2",BI109,0),2)</f>
      </c>
      <c r="AH109" s="62">
        <f>ROUND(IF(AQ109="0",BJ109,0),2)</f>
      </c>
      <c r="AI109" s="35" t="s">
        <v>55</v>
      </c>
      <c r="AJ109" s="62">
        <f>IF(AN109=0,K109,0)</f>
      </c>
      <c r="AK109" s="62">
        <f>IF(AN109=12,K109,0)</f>
      </c>
      <c r="AL109" s="62">
        <f>IF(AN109=21,K109,0)</f>
      </c>
      <c r="AN109" s="62" t="n">
        <v>21</v>
      </c>
      <c r="AO109" s="62">
        <f>H109*0.148600746</f>
      </c>
      <c r="AP109" s="62">
        <f>H109*(1-0.148600746)</f>
      </c>
      <c r="AQ109" s="65" t="s">
        <v>100</v>
      </c>
      <c r="AV109" s="62">
        <f>ROUND(AW109+AX109,2)</f>
      </c>
      <c r="AW109" s="62">
        <f>ROUND(G109*AO109,2)</f>
      </c>
      <c r="AX109" s="62">
        <f>ROUND(G109*AP109,2)</f>
      </c>
      <c r="AY109" s="65" t="s">
        <v>233</v>
      </c>
      <c r="AZ109" s="65" t="s">
        <v>234</v>
      </c>
      <c r="BA109" s="35" t="s">
        <v>66</v>
      </c>
      <c r="BC109" s="62">
        <f>AW109+AX109</f>
      </c>
      <c r="BD109" s="62">
        <f>H109/(100-BE109)*100</f>
      </c>
      <c r="BE109" s="62" t="n">
        <v>0</v>
      </c>
      <c r="BF109" s="62">
        <f>N109</f>
      </c>
      <c r="BH109" s="62">
        <f>G109*AO109</f>
      </c>
      <c r="BI109" s="62">
        <f>G109*AP109</f>
      </c>
      <c r="BJ109" s="62">
        <f>G109*H109</f>
      </c>
      <c r="BK109" s="65" t="s">
        <v>67</v>
      </c>
      <c r="BL109" s="62" t="n">
        <v>764</v>
      </c>
      <c r="BW109" s="62" t="n">
        <v>21</v>
      </c>
      <c r="BX109" s="16" t="s">
        <v>250</v>
      </c>
    </row>
    <row r="110">
      <c r="A110" s="10" t="s">
        <v>251</v>
      </c>
      <c r="B110" s="11" t="s">
        <v>55</v>
      </c>
      <c r="C110" s="11" t="s">
        <v>252</v>
      </c>
      <c r="D110" s="16" t="s">
        <v>253</v>
      </c>
      <c r="E110" s="11"/>
      <c r="F110" s="11" t="s">
        <v>114</v>
      </c>
      <c r="G110" s="62" t="n">
        <v>10.2</v>
      </c>
      <c r="H110" s="63" t="n">
        <v>0</v>
      </c>
      <c r="I110" s="62">
        <f>ROUND(G110*AO110,2)</f>
      </c>
      <c r="J110" s="62">
        <f>ROUND(G110*AP110,2)</f>
      </c>
      <c r="K110" s="62">
        <f>ROUND(G110*H110,2)</f>
      </c>
      <c r="L110" s="62" t="n">
        <v>0.00296</v>
      </c>
      <c r="M110" s="62" t="n">
        <v>0.00296</v>
      </c>
      <c r="N110" s="62">
        <f>G110*M110</f>
      </c>
      <c r="O110" s="64" t="s">
        <v>63</v>
      </c>
      <c r="Z110" s="62">
        <f>ROUND(IF(AQ110="5",BJ110,0),2)</f>
      </c>
      <c r="AB110" s="62">
        <f>ROUND(IF(AQ110="1",BH110,0),2)</f>
      </c>
      <c r="AC110" s="62">
        <f>ROUND(IF(AQ110="1",BI110,0),2)</f>
      </c>
      <c r="AD110" s="62">
        <f>ROUND(IF(AQ110="7",BH110,0),2)</f>
      </c>
      <c r="AE110" s="62">
        <f>ROUND(IF(AQ110="7",BI110,0),2)</f>
      </c>
      <c r="AF110" s="62">
        <f>ROUND(IF(AQ110="2",BH110,0),2)</f>
      </c>
      <c r="AG110" s="62">
        <f>ROUND(IF(AQ110="2",BI110,0),2)</f>
      </c>
      <c r="AH110" s="62">
        <f>ROUND(IF(AQ110="0",BJ110,0),2)</f>
      </c>
      <c r="AI110" s="35" t="s">
        <v>55</v>
      </c>
      <c r="AJ110" s="62">
        <f>IF(AN110=0,K110,0)</f>
      </c>
      <c r="AK110" s="62">
        <f>IF(AN110=12,K110,0)</f>
      </c>
      <c r="AL110" s="62">
        <f>IF(AN110=21,K110,0)</f>
      </c>
      <c r="AN110" s="62" t="n">
        <v>21</v>
      </c>
      <c r="AO110" s="62">
        <f>H110*0.170789414</f>
      </c>
      <c r="AP110" s="62">
        <f>H110*(1-0.170789414)</f>
      </c>
      <c r="AQ110" s="65" t="s">
        <v>100</v>
      </c>
      <c r="AV110" s="62">
        <f>ROUND(AW110+AX110,2)</f>
      </c>
      <c r="AW110" s="62">
        <f>ROUND(G110*AO110,2)</f>
      </c>
      <c r="AX110" s="62">
        <f>ROUND(G110*AP110,2)</f>
      </c>
      <c r="AY110" s="65" t="s">
        <v>233</v>
      </c>
      <c r="AZ110" s="65" t="s">
        <v>234</v>
      </c>
      <c r="BA110" s="35" t="s">
        <v>66</v>
      </c>
      <c r="BC110" s="62">
        <f>AW110+AX110</f>
      </c>
      <c r="BD110" s="62">
        <f>H110/(100-BE110)*100</f>
      </c>
      <c r="BE110" s="62" t="n">
        <v>0</v>
      </c>
      <c r="BF110" s="62">
        <f>N110</f>
      </c>
      <c r="BH110" s="62">
        <f>G110*AO110</f>
      </c>
      <c r="BI110" s="62">
        <f>G110*AP110</f>
      </c>
      <c r="BJ110" s="62">
        <f>G110*H110</f>
      </c>
      <c r="BK110" s="65" t="s">
        <v>67</v>
      </c>
      <c r="BL110" s="62" t="n">
        <v>764</v>
      </c>
      <c r="BW110" s="62" t="n">
        <v>21</v>
      </c>
      <c r="BX110" s="16" t="s">
        <v>253</v>
      </c>
    </row>
    <row r="111">
      <c r="A111" s="66"/>
      <c r="D111" s="72" t="s">
        <v>254</v>
      </c>
      <c r="E111" s="73" t="s">
        <v>54</v>
      </c>
      <c r="G111" s="74" t="n">
        <v>10.2</v>
      </c>
      <c r="O111" s="75"/>
    </row>
    <row r="112">
      <c r="A112" s="10" t="s">
        <v>255</v>
      </c>
      <c r="B112" s="11" t="s">
        <v>55</v>
      </c>
      <c r="C112" s="11" t="s">
        <v>256</v>
      </c>
      <c r="D112" s="16" t="s">
        <v>257</v>
      </c>
      <c r="E112" s="11"/>
      <c r="F112" s="11" t="s">
        <v>114</v>
      </c>
      <c r="G112" s="62" t="n">
        <v>8.2</v>
      </c>
      <c r="H112" s="63" t="n">
        <v>0</v>
      </c>
      <c r="I112" s="62">
        <f>ROUND(G112*AO112,2)</f>
      </c>
      <c r="J112" s="62">
        <f>ROUND(G112*AP112,2)</f>
      </c>
      <c r="K112" s="62">
        <f>ROUND(G112*H112,2)</f>
      </c>
      <c r="L112" s="62" t="n">
        <v>0.00339</v>
      </c>
      <c r="M112" s="62" t="n">
        <v>0.00339</v>
      </c>
      <c r="N112" s="62">
        <f>G112*M112</f>
      </c>
      <c r="O112" s="64" t="s">
        <v>63</v>
      </c>
      <c r="Z112" s="62">
        <f>ROUND(IF(AQ112="5",BJ112,0),2)</f>
      </c>
      <c r="AB112" s="62">
        <f>ROUND(IF(AQ112="1",BH112,0),2)</f>
      </c>
      <c r="AC112" s="62">
        <f>ROUND(IF(AQ112="1",BI112,0),2)</f>
      </c>
      <c r="AD112" s="62">
        <f>ROUND(IF(AQ112="7",BH112,0),2)</f>
      </c>
      <c r="AE112" s="62">
        <f>ROUND(IF(AQ112="7",BI112,0),2)</f>
      </c>
      <c r="AF112" s="62">
        <f>ROUND(IF(AQ112="2",BH112,0),2)</f>
      </c>
      <c r="AG112" s="62">
        <f>ROUND(IF(AQ112="2",BI112,0),2)</f>
      </c>
      <c r="AH112" s="62">
        <f>ROUND(IF(AQ112="0",BJ112,0),2)</f>
      </c>
      <c r="AI112" s="35" t="s">
        <v>55</v>
      </c>
      <c r="AJ112" s="62">
        <f>IF(AN112=0,K112,0)</f>
      </c>
      <c r="AK112" s="62">
        <f>IF(AN112=12,K112,0)</f>
      </c>
      <c r="AL112" s="62">
        <f>IF(AN112=21,K112,0)</f>
      </c>
      <c r="AN112" s="62" t="n">
        <v>21</v>
      </c>
      <c r="AO112" s="62">
        <f>H112*0.203747871</f>
      </c>
      <c r="AP112" s="62">
        <f>H112*(1-0.203747871)</f>
      </c>
      <c r="AQ112" s="65" t="s">
        <v>100</v>
      </c>
      <c r="AV112" s="62">
        <f>ROUND(AW112+AX112,2)</f>
      </c>
      <c r="AW112" s="62">
        <f>ROUND(G112*AO112,2)</f>
      </c>
      <c r="AX112" s="62">
        <f>ROUND(G112*AP112,2)</f>
      </c>
      <c r="AY112" s="65" t="s">
        <v>233</v>
      </c>
      <c r="AZ112" s="65" t="s">
        <v>234</v>
      </c>
      <c r="BA112" s="35" t="s">
        <v>66</v>
      </c>
      <c r="BC112" s="62">
        <f>AW112+AX112</f>
      </c>
      <c r="BD112" s="62">
        <f>H112/(100-BE112)*100</f>
      </c>
      <c r="BE112" s="62" t="n">
        <v>0</v>
      </c>
      <c r="BF112" s="62">
        <f>N112</f>
      </c>
      <c r="BH112" s="62">
        <f>G112*AO112</f>
      </c>
      <c r="BI112" s="62">
        <f>G112*AP112</f>
      </c>
      <c r="BJ112" s="62">
        <f>G112*H112</f>
      </c>
      <c r="BK112" s="65" t="s">
        <v>67</v>
      </c>
      <c r="BL112" s="62" t="n">
        <v>764</v>
      </c>
      <c r="BW112" s="62" t="n">
        <v>21</v>
      </c>
      <c r="BX112" s="16" t="s">
        <v>257</v>
      </c>
    </row>
    <row r="113">
      <c r="A113" s="10" t="s">
        <v>258</v>
      </c>
      <c r="B113" s="11" t="s">
        <v>55</v>
      </c>
      <c r="C113" s="11" t="s">
        <v>259</v>
      </c>
      <c r="D113" s="16" t="s">
        <v>260</v>
      </c>
      <c r="E113" s="11"/>
      <c r="F113" s="11" t="s">
        <v>114</v>
      </c>
      <c r="G113" s="62" t="n">
        <v>8.2</v>
      </c>
      <c r="H113" s="63" t="n">
        <v>0</v>
      </c>
      <c r="I113" s="62">
        <f>ROUND(G113*AO113,2)</f>
      </c>
      <c r="J113" s="62">
        <f>ROUND(G113*AP113,2)</f>
      </c>
      <c r="K113" s="62">
        <f>ROUND(G113*H113,2)</f>
      </c>
      <c r="L113" s="62" t="n">
        <v>0</v>
      </c>
      <c r="M113" s="62" t="n">
        <v>0.00175</v>
      </c>
      <c r="N113" s="62">
        <f>G113*M113</f>
      </c>
      <c r="O113" s="64" t="s">
        <v>63</v>
      </c>
      <c r="Z113" s="62">
        <f>ROUND(IF(AQ113="5",BJ113,0),2)</f>
      </c>
      <c r="AB113" s="62">
        <f>ROUND(IF(AQ113="1",BH113,0),2)</f>
      </c>
      <c r="AC113" s="62">
        <f>ROUND(IF(AQ113="1",BI113,0),2)</f>
      </c>
      <c r="AD113" s="62">
        <f>ROUND(IF(AQ113="7",BH113,0),2)</f>
      </c>
      <c r="AE113" s="62">
        <f>ROUND(IF(AQ113="7",BI113,0),2)</f>
      </c>
      <c r="AF113" s="62">
        <f>ROUND(IF(AQ113="2",BH113,0),2)</f>
      </c>
      <c r="AG113" s="62">
        <f>ROUND(IF(AQ113="2",BI113,0),2)</f>
      </c>
      <c r="AH113" s="62">
        <f>ROUND(IF(AQ113="0",BJ113,0),2)</f>
      </c>
      <c r="AI113" s="35" t="s">
        <v>55</v>
      </c>
      <c r="AJ113" s="62">
        <f>IF(AN113=0,K113,0)</f>
      </c>
      <c r="AK113" s="62">
        <f>IF(AN113=12,K113,0)</f>
      </c>
      <c r="AL113" s="62">
        <f>IF(AN113=21,K113,0)</f>
      </c>
      <c r="AN113" s="62" t="n">
        <v>21</v>
      </c>
      <c r="AO113" s="62">
        <f>H113*0</f>
      </c>
      <c r="AP113" s="62">
        <f>H113*(1-0)</f>
      </c>
      <c r="AQ113" s="65" t="s">
        <v>100</v>
      </c>
      <c r="AV113" s="62">
        <f>ROUND(AW113+AX113,2)</f>
      </c>
      <c r="AW113" s="62">
        <f>ROUND(G113*AO113,2)</f>
      </c>
      <c r="AX113" s="62">
        <f>ROUND(G113*AP113,2)</f>
      </c>
      <c r="AY113" s="65" t="s">
        <v>233</v>
      </c>
      <c r="AZ113" s="65" t="s">
        <v>234</v>
      </c>
      <c r="BA113" s="35" t="s">
        <v>66</v>
      </c>
      <c r="BC113" s="62">
        <f>AW113+AX113</f>
      </c>
      <c r="BD113" s="62">
        <f>H113/(100-BE113)*100</f>
      </c>
      <c r="BE113" s="62" t="n">
        <v>0</v>
      </c>
      <c r="BF113" s="62">
        <f>N113</f>
      </c>
      <c r="BH113" s="62">
        <f>G113*AO113</f>
      </c>
      <c r="BI113" s="62">
        <f>G113*AP113</f>
      </c>
      <c r="BJ113" s="62">
        <f>G113*H113</f>
      </c>
      <c r="BK113" s="65" t="s">
        <v>67</v>
      </c>
      <c r="BL113" s="62" t="n">
        <v>764</v>
      </c>
      <c r="BW113" s="62" t="n">
        <v>21</v>
      </c>
      <c r="BX113" s="16" t="s">
        <v>260</v>
      </c>
    </row>
    <row r="114">
      <c r="A114" s="10" t="s">
        <v>123</v>
      </c>
      <c r="B114" s="11" t="s">
        <v>55</v>
      </c>
      <c r="C114" s="11" t="s">
        <v>261</v>
      </c>
      <c r="D114" s="16" t="s">
        <v>262</v>
      </c>
      <c r="E114" s="11"/>
      <c r="F114" s="11" t="s">
        <v>103</v>
      </c>
      <c r="G114" s="62" t="n">
        <v>2</v>
      </c>
      <c r="H114" s="63" t="n">
        <v>0</v>
      </c>
      <c r="I114" s="62">
        <f>ROUND(G114*AO114,2)</f>
      </c>
      <c r="J114" s="62">
        <f>ROUND(G114*AP114,2)</f>
      </c>
      <c r="K114" s="62">
        <f>ROUND(G114*H114,2)</f>
      </c>
      <c r="L114" s="62" t="n">
        <v>0</v>
      </c>
      <c r="M114" s="62" t="n">
        <v>0.00293</v>
      </c>
      <c r="N114" s="62">
        <f>G114*M114</f>
      </c>
      <c r="O114" s="64" t="s">
        <v>63</v>
      </c>
      <c r="Z114" s="62">
        <f>ROUND(IF(AQ114="5",BJ114,0),2)</f>
      </c>
      <c r="AB114" s="62">
        <f>ROUND(IF(AQ114="1",BH114,0),2)</f>
      </c>
      <c r="AC114" s="62">
        <f>ROUND(IF(AQ114="1",BI114,0),2)</f>
      </c>
      <c r="AD114" s="62">
        <f>ROUND(IF(AQ114="7",BH114,0),2)</f>
      </c>
      <c r="AE114" s="62">
        <f>ROUND(IF(AQ114="7",BI114,0),2)</f>
      </c>
      <c r="AF114" s="62">
        <f>ROUND(IF(AQ114="2",BH114,0),2)</f>
      </c>
      <c r="AG114" s="62">
        <f>ROUND(IF(AQ114="2",BI114,0),2)</f>
      </c>
      <c r="AH114" s="62">
        <f>ROUND(IF(AQ114="0",BJ114,0),2)</f>
      </c>
      <c r="AI114" s="35" t="s">
        <v>55</v>
      </c>
      <c r="AJ114" s="62">
        <f>IF(AN114=0,K114,0)</f>
      </c>
      <c r="AK114" s="62">
        <f>IF(AN114=12,K114,0)</f>
      </c>
      <c r="AL114" s="62">
        <f>IF(AN114=21,K114,0)</f>
      </c>
      <c r="AN114" s="62" t="n">
        <v>21</v>
      </c>
      <c r="AO114" s="62">
        <f>H114*0</f>
      </c>
      <c r="AP114" s="62">
        <f>H114*(1-0)</f>
      </c>
      <c r="AQ114" s="65" t="s">
        <v>100</v>
      </c>
      <c r="AV114" s="62">
        <f>ROUND(AW114+AX114,2)</f>
      </c>
      <c r="AW114" s="62">
        <f>ROUND(G114*AO114,2)</f>
      </c>
      <c r="AX114" s="62">
        <f>ROUND(G114*AP114,2)</f>
      </c>
      <c r="AY114" s="65" t="s">
        <v>233</v>
      </c>
      <c r="AZ114" s="65" t="s">
        <v>234</v>
      </c>
      <c r="BA114" s="35" t="s">
        <v>66</v>
      </c>
      <c r="BC114" s="62">
        <f>AW114+AX114</f>
      </c>
      <c r="BD114" s="62">
        <f>H114/(100-BE114)*100</f>
      </c>
      <c r="BE114" s="62" t="n">
        <v>0</v>
      </c>
      <c r="BF114" s="62">
        <f>N114</f>
      </c>
      <c r="BH114" s="62">
        <f>G114*AO114</f>
      </c>
      <c r="BI114" s="62">
        <f>G114*AP114</f>
      </c>
      <c r="BJ114" s="62">
        <f>G114*H114</f>
      </c>
      <c r="BK114" s="65" t="s">
        <v>67</v>
      </c>
      <c r="BL114" s="62" t="n">
        <v>764</v>
      </c>
      <c r="BW114" s="62" t="n">
        <v>21</v>
      </c>
      <c r="BX114" s="16" t="s">
        <v>262</v>
      </c>
    </row>
    <row r="115">
      <c r="A115" s="10" t="s">
        <v>130</v>
      </c>
      <c r="B115" s="11" t="s">
        <v>55</v>
      </c>
      <c r="C115" s="11" t="s">
        <v>263</v>
      </c>
      <c r="D115" s="16" t="s">
        <v>264</v>
      </c>
      <c r="E115" s="11"/>
      <c r="F115" s="11" t="s">
        <v>114</v>
      </c>
      <c r="G115" s="62" t="n">
        <v>30</v>
      </c>
      <c r="H115" s="63" t="n">
        <v>0</v>
      </c>
      <c r="I115" s="62">
        <f>ROUND(G115*AO115,2)</f>
      </c>
      <c r="J115" s="62">
        <f>ROUND(G115*AP115,2)</f>
      </c>
      <c r="K115" s="62">
        <f>ROUND(G115*H115,2)</f>
      </c>
      <c r="L115" s="62" t="n">
        <v>0.00311</v>
      </c>
      <c r="M115" s="62" t="n">
        <v>0.00311</v>
      </c>
      <c r="N115" s="62">
        <f>G115*M115</f>
      </c>
      <c r="O115" s="64" t="s">
        <v>63</v>
      </c>
      <c r="Z115" s="62">
        <f>ROUND(IF(AQ115="5",BJ115,0),2)</f>
      </c>
      <c r="AB115" s="62">
        <f>ROUND(IF(AQ115="1",BH115,0),2)</f>
      </c>
      <c r="AC115" s="62">
        <f>ROUND(IF(AQ115="1",BI115,0),2)</f>
      </c>
      <c r="AD115" s="62">
        <f>ROUND(IF(AQ115="7",BH115,0),2)</f>
      </c>
      <c r="AE115" s="62">
        <f>ROUND(IF(AQ115="7",BI115,0),2)</f>
      </c>
      <c r="AF115" s="62">
        <f>ROUND(IF(AQ115="2",BH115,0),2)</f>
      </c>
      <c r="AG115" s="62">
        <f>ROUND(IF(AQ115="2",BI115,0),2)</f>
      </c>
      <c r="AH115" s="62">
        <f>ROUND(IF(AQ115="0",BJ115,0),2)</f>
      </c>
      <c r="AI115" s="35" t="s">
        <v>55</v>
      </c>
      <c r="AJ115" s="62">
        <f>IF(AN115=0,K115,0)</f>
      </c>
      <c r="AK115" s="62">
        <f>IF(AN115=12,K115,0)</f>
      </c>
      <c r="AL115" s="62">
        <f>IF(AN115=21,K115,0)</f>
      </c>
      <c r="AN115" s="62" t="n">
        <v>21</v>
      </c>
      <c r="AO115" s="62">
        <f>H115*0.300628715</f>
      </c>
      <c r="AP115" s="62">
        <f>H115*(1-0.300628715)</f>
      </c>
      <c r="AQ115" s="65" t="s">
        <v>100</v>
      </c>
      <c r="AV115" s="62">
        <f>ROUND(AW115+AX115,2)</f>
      </c>
      <c r="AW115" s="62">
        <f>ROUND(G115*AO115,2)</f>
      </c>
      <c r="AX115" s="62">
        <f>ROUND(G115*AP115,2)</f>
      </c>
      <c r="AY115" s="65" t="s">
        <v>233</v>
      </c>
      <c r="AZ115" s="65" t="s">
        <v>234</v>
      </c>
      <c r="BA115" s="35" t="s">
        <v>66</v>
      </c>
      <c r="BC115" s="62">
        <f>AW115+AX115</f>
      </c>
      <c r="BD115" s="62">
        <f>H115/(100-BE115)*100</f>
      </c>
      <c r="BE115" s="62" t="n">
        <v>0</v>
      </c>
      <c r="BF115" s="62">
        <f>N115</f>
      </c>
      <c r="BH115" s="62">
        <f>G115*AO115</f>
      </c>
      <c r="BI115" s="62">
        <f>G115*AP115</f>
      </c>
      <c r="BJ115" s="62">
        <f>G115*H115</f>
      </c>
      <c r="BK115" s="65" t="s">
        <v>67</v>
      </c>
      <c r="BL115" s="62" t="n">
        <v>764</v>
      </c>
      <c r="BW115" s="62" t="n">
        <v>21</v>
      </c>
      <c r="BX115" s="16" t="s">
        <v>264</v>
      </c>
    </row>
    <row r="116">
      <c r="A116" s="66"/>
      <c r="D116" s="72" t="s">
        <v>265</v>
      </c>
      <c r="E116" s="73" t="s">
        <v>54</v>
      </c>
      <c r="G116" s="74" t="n">
        <v>30</v>
      </c>
      <c r="O116" s="75"/>
    </row>
    <row r="117" customHeight="true" ht="27">
      <c r="A117" s="66"/>
      <c r="C117" s="76" t="s">
        <v>71</v>
      </c>
      <c r="D117" s="77" t="s">
        <v>266</v>
      </c>
      <c r="E117" s="78"/>
      <c r="F117" s="78"/>
      <c r="G117" s="78"/>
      <c r="H117" s="79"/>
      <c r="I117" s="78"/>
      <c r="J117" s="78"/>
      <c r="K117" s="78"/>
      <c r="L117" s="78"/>
      <c r="M117" s="78"/>
      <c r="N117" s="78"/>
      <c r="O117" s="80"/>
    </row>
    <row r="118">
      <c r="A118" s="10" t="s">
        <v>267</v>
      </c>
      <c r="B118" s="11" t="s">
        <v>55</v>
      </c>
      <c r="C118" s="11" t="s">
        <v>268</v>
      </c>
      <c r="D118" s="16" t="s">
        <v>269</v>
      </c>
      <c r="E118" s="11"/>
      <c r="F118" s="11" t="s">
        <v>114</v>
      </c>
      <c r="G118" s="62" t="n">
        <v>30</v>
      </c>
      <c r="H118" s="63" t="n">
        <v>0</v>
      </c>
      <c r="I118" s="62">
        <f>ROUND(G118*AO118,2)</f>
      </c>
      <c r="J118" s="62">
        <f>ROUND(G118*AP118,2)</f>
      </c>
      <c r="K118" s="62">
        <f>ROUND(G118*H118,2)</f>
      </c>
      <c r="L118" s="62" t="n">
        <v>0</v>
      </c>
      <c r="M118" s="62" t="n">
        <v>0.00285</v>
      </c>
      <c r="N118" s="62">
        <f>G118*M118</f>
      </c>
      <c r="O118" s="64" t="s">
        <v>63</v>
      </c>
      <c r="Z118" s="62">
        <f>ROUND(IF(AQ118="5",BJ118,0),2)</f>
      </c>
      <c r="AB118" s="62">
        <f>ROUND(IF(AQ118="1",BH118,0),2)</f>
      </c>
      <c r="AC118" s="62">
        <f>ROUND(IF(AQ118="1",BI118,0),2)</f>
      </c>
      <c r="AD118" s="62">
        <f>ROUND(IF(AQ118="7",BH118,0),2)</f>
      </c>
      <c r="AE118" s="62">
        <f>ROUND(IF(AQ118="7",BI118,0),2)</f>
      </c>
      <c r="AF118" s="62">
        <f>ROUND(IF(AQ118="2",BH118,0),2)</f>
      </c>
      <c r="AG118" s="62">
        <f>ROUND(IF(AQ118="2",BI118,0),2)</f>
      </c>
      <c r="AH118" s="62">
        <f>ROUND(IF(AQ118="0",BJ118,0),2)</f>
      </c>
      <c r="AI118" s="35" t="s">
        <v>55</v>
      </c>
      <c r="AJ118" s="62">
        <f>IF(AN118=0,K118,0)</f>
      </c>
      <c r="AK118" s="62">
        <f>IF(AN118=12,K118,0)</f>
      </c>
      <c r="AL118" s="62">
        <f>IF(AN118=21,K118,0)</f>
      </c>
      <c r="AN118" s="62" t="n">
        <v>21</v>
      </c>
      <c r="AO118" s="62">
        <f>H118*0</f>
      </c>
      <c r="AP118" s="62">
        <f>H118*(1-0)</f>
      </c>
      <c r="AQ118" s="65" t="s">
        <v>100</v>
      </c>
      <c r="AV118" s="62">
        <f>ROUND(AW118+AX118,2)</f>
      </c>
      <c r="AW118" s="62">
        <f>ROUND(G118*AO118,2)</f>
      </c>
      <c r="AX118" s="62">
        <f>ROUND(G118*AP118,2)</f>
      </c>
      <c r="AY118" s="65" t="s">
        <v>233</v>
      </c>
      <c r="AZ118" s="65" t="s">
        <v>234</v>
      </c>
      <c r="BA118" s="35" t="s">
        <v>66</v>
      </c>
      <c r="BC118" s="62">
        <f>AW118+AX118</f>
      </c>
      <c r="BD118" s="62">
        <f>H118/(100-BE118)*100</f>
      </c>
      <c r="BE118" s="62" t="n">
        <v>0</v>
      </c>
      <c r="BF118" s="62">
        <f>N118</f>
      </c>
      <c r="BH118" s="62">
        <f>G118*AO118</f>
      </c>
      <c r="BI118" s="62">
        <f>G118*AP118</f>
      </c>
      <c r="BJ118" s="62">
        <f>G118*H118</f>
      </c>
      <c r="BK118" s="65" t="s">
        <v>67</v>
      </c>
      <c r="BL118" s="62" t="n">
        <v>764</v>
      </c>
      <c r="BW118" s="62" t="n">
        <v>21</v>
      </c>
      <c r="BX118" s="16" t="s">
        <v>269</v>
      </c>
    </row>
    <row r="119">
      <c r="A119" s="66"/>
      <c r="D119" s="72" t="s">
        <v>265</v>
      </c>
      <c r="E119" s="73" t="s">
        <v>54</v>
      </c>
      <c r="G119" s="74" t="n">
        <v>30</v>
      </c>
      <c r="O119" s="75"/>
    </row>
    <row r="120">
      <c r="A120" s="10" t="s">
        <v>270</v>
      </c>
      <c r="B120" s="11" t="s">
        <v>55</v>
      </c>
      <c r="C120" s="11" t="s">
        <v>271</v>
      </c>
      <c r="D120" s="16" t="s">
        <v>272</v>
      </c>
      <c r="E120" s="11"/>
      <c r="F120" s="11" t="s">
        <v>103</v>
      </c>
      <c r="G120" s="62" t="n">
        <v>4</v>
      </c>
      <c r="H120" s="63" t="n">
        <v>0</v>
      </c>
      <c r="I120" s="62">
        <f>ROUND(G120*AO120,2)</f>
      </c>
      <c r="J120" s="62">
        <f>ROUND(G120*AP120,2)</f>
      </c>
      <c r="K120" s="62">
        <f>ROUND(G120*H120,2)</f>
      </c>
      <c r="L120" s="62" t="n">
        <v>0</v>
      </c>
      <c r="M120" s="62" t="n">
        <v>0.00069</v>
      </c>
      <c r="N120" s="62">
        <f>G120*M120</f>
      </c>
      <c r="O120" s="64" t="s">
        <v>63</v>
      </c>
      <c r="Z120" s="62">
        <f>ROUND(IF(AQ120="5",BJ120,0),2)</f>
      </c>
      <c r="AB120" s="62">
        <f>ROUND(IF(AQ120="1",BH120,0),2)</f>
      </c>
      <c r="AC120" s="62">
        <f>ROUND(IF(AQ120="1",BI120,0),2)</f>
      </c>
      <c r="AD120" s="62">
        <f>ROUND(IF(AQ120="7",BH120,0),2)</f>
      </c>
      <c r="AE120" s="62">
        <f>ROUND(IF(AQ120="7",BI120,0),2)</f>
      </c>
      <c r="AF120" s="62">
        <f>ROUND(IF(AQ120="2",BH120,0),2)</f>
      </c>
      <c r="AG120" s="62">
        <f>ROUND(IF(AQ120="2",BI120,0),2)</f>
      </c>
      <c r="AH120" s="62">
        <f>ROUND(IF(AQ120="0",BJ120,0),2)</f>
      </c>
      <c r="AI120" s="35" t="s">
        <v>55</v>
      </c>
      <c r="AJ120" s="62">
        <f>IF(AN120=0,K120,0)</f>
      </c>
      <c r="AK120" s="62">
        <f>IF(AN120=12,K120,0)</f>
      </c>
      <c r="AL120" s="62">
        <f>IF(AN120=21,K120,0)</f>
      </c>
      <c r="AN120" s="62" t="n">
        <v>21</v>
      </c>
      <c r="AO120" s="62">
        <f>H120*0</f>
      </c>
      <c r="AP120" s="62">
        <f>H120*(1-0)</f>
      </c>
      <c r="AQ120" s="65" t="s">
        <v>100</v>
      </c>
      <c r="AV120" s="62">
        <f>ROUND(AW120+AX120,2)</f>
      </c>
      <c r="AW120" s="62">
        <f>ROUND(G120*AO120,2)</f>
      </c>
      <c r="AX120" s="62">
        <f>ROUND(G120*AP120,2)</f>
      </c>
      <c r="AY120" s="65" t="s">
        <v>233</v>
      </c>
      <c r="AZ120" s="65" t="s">
        <v>234</v>
      </c>
      <c r="BA120" s="35" t="s">
        <v>66</v>
      </c>
      <c r="BC120" s="62">
        <f>AW120+AX120</f>
      </c>
      <c r="BD120" s="62">
        <f>H120/(100-BE120)*100</f>
      </c>
      <c r="BE120" s="62" t="n">
        <v>0</v>
      </c>
      <c r="BF120" s="62">
        <f>N120</f>
      </c>
      <c r="BH120" s="62">
        <f>G120*AO120</f>
      </c>
      <c r="BI120" s="62">
        <f>G120*AP120</f>
      </c>
      <c r="BJ120" s="62">
        <f>G120*H120</f>
      </c>
      <c r="BK120" s="65" t="s">
        <v>67</v>
      </c>
      <c r="BL120" s="62" t="n">
        <v>764</v>
      </c>
      <c r="BW120" s="62" t="n">
        <v>21</v>
      </c>
      <c r="BX120" s="16" t="s">
        <v>272</v>
      </c>
    </row>
    <row r="121">
      <c r="A121" s="56" t="s">
        <v>54</v>
      </c>
      <c r="B121" s="57" t="s">
        <v>55</v>
      </c>
      <c r="C121" s="57" t="s">
        <v>273</v>
      </c>
      <c r="D121" s="58" t="s">
        <v>274</v>
      </c>
      <c r="E121" s="57"/>
      <c r="F121" s="59" t="s">
        <v>4</v>
      </c>
      <c r="G121" s="59" t="s">
        <v>4</v>
      </c>
      <c r="H121" s="60" t="s">
        <v>4</v>
      </c>
      <c r="I121" s="2">
        <f>SUM(I122:I130)</f>
      </c>
      <c r="J121" s="2">
        <f>SUM(J122:J130)</f>
      </c>
      <c r="K121" s="2">
        <f>SUM(K122:K130)</f>
      </c>
      <c r="L121" s="35" t="s">
        <v>54</v>
      </c>
      <c r="M121" s="35" t="s">
        <v>54</v>
      </c>
      <c r="N121" s="2">
        <f>SUM(N122:N130)</f>
      </c>
      <c r="O121" s="61" t="s">
        <v>54</v>
      </c>
      <c r="AI121" s="35" t="s">
        <v>55</v>
      </c>
      <c r="AS121" s="2">
        <f>SUM(AJ122:AJ130)</f>
      </c>
      <c r="AT121" s="2">
        <f>SUM(AK122:AK130)</f>
      </c>
      <c r="AU121" s="2">
        <f>SUM(AL122:AL130)</f>
      </c>
    </row>
    <row r="122">
      <c r="A122" s="10" t="s">
        <v>275</v>
      </c>
      <c r="B122" s="11" t="s">
        <v>55</v>
      </c>
      <c r="C122" s="11" t="s">
        <v>276</v>
      </c>
      <c r="D122" s="16" t="s">
        <v>277</v>
      </c>
      <c r="E122" s="11"/>
      <c r="F122" s="11" t="s">
        <v>278</v>
      </c>
      <c r="G122" s="62" t="n">
        <v>1</v>
      </c>
      <c r="H122" s="63" t="n">
        <v>0</v>
      </c>
      <c r="I122" s="62">
        <f>ROUND(G122*AO122,2)</f>
      </c>
      <c r="J122" s="62">
        <f>ROUND(G122*AP122,2)</f>
      </c>
      <c r="K122" s="62">
        <f>ROUND(G122*H122,2)</f>
      </c>
      <c r="L122" s="62" t="n">
        <v>0</v>
      </c>
      <c r="M122" s="62" t="n">
        <v>0</v>
      </c>
      <c r="N122" s="62">
        <f>G122*M122</f>
      </c>
      <c r="O122" s="64" t="s">
        <v>54</v>
      </c>
      <c r="Z122" s="62">
        <f>ROUND(IF(AQ122="5",BJ122,0),2)</f>
      </c>
      <c r="AB122" s="62">
        <f>ROUND(IF(AQ122="1",BH122,0),2)</f>
      </c>
      <c r="AC122" s="62">
        <f>ROUND(IF(AQ122="1",BI122,0),2)</f>
      </c>
      <c r="AD122" s="62">
        <f>ROUND(IF(AQ122="7",BH122,0),2)</f>
      </c>
      <c r="AE122" s="62">
        <f>ROUND(IF(AQ122="7",BI122,0),2)</f>
      </c>
      <c r="AF122" s="62">
        <f>ROUND(IF(AQ122="2",BH122,0),2)</f>
      </c>
      <c r="AG122" s="62">
        <f>ROUND(IF(AQ122="2",BI122,0),2)</f>
      </c>
      <c r="AH122" s="62">
        <f>ROUND(IF(AQ122="0",BJ122,0),2)</f>
      </c>
      <c r="AI122" s="35" t="s">
        <v>55</v>
      </c>
      <c r="AJ122" s="62">
        <f>IF(AN122=0,K122,0)</f>
      </c>
      <c r="AK122" s="62">
        <f>IF(AN122=12,K122,0)</f>
      </c>
      <c r="AL122" s="62">
        <f>IF(AN122=21,K122,0)</f>
      </c>
      <c r="AN122" s="62" t="n">
        <v>21</v>
      </c>
      <c r="AO122" s="62">
        <f>H122*0</f>
      </c>
      <c r="AP122" s="62">
        <f>H122*(1-0)</f>
      </c>
      <c r="AQ122" s="65" t="s">
        <v>100</v>
      </c>
      <c r="AV122" s="62">
        <f>ROUND(AW122+AX122,2)</f>
      </c>
      <c r="AW122" s="62">
        <f>ROUND(G122*AO122,2)</f>
      </c>
      <c r="AX122" s="62">
        <f>ROUND(G122*AP122,2)</f>
      </c>
      <c r="AY122" s="65" t="s">
        <v>279</v>
      </c>
      <c r="AZ122" s="65" t="s">
        <v>234</v>
      </c>
      <c r="BA122" s="35" t="s">
        <v>66</v>
      </c>
      <c r="BC122" s="62">
        <f>AW122+AX122</f>
      </c>
      <c r="BD122" s="62">
        <f>H122/(100-BE122)*100</f>
      </c>
      <c r="BE122" s="62" t="n">
        <v>0</v>
      </c>
      <c r="BF122" s="62">
        <f>N122</f>
      </c>
      <c r="BH122" s="62">
        <f>G122*AO122</f>
      </c>
      <c r="BI122" s="62">
        <f>G122*AP122</f>
      </c>
      <c r="BJ122" s="62">
        <f>G122*H122</f>
      </c>
      <c r="BK122" s="65" t="s">
        <v>67</v>
      </c>
      <c r="BL122" s="62" t="n">
        <v>766</v>
      </c>
      <c r="BW122" s="62" t="n">
        <v>21</v>
      </c>
      <c r="BX122" s="16" t="s">
        <v>277</v>
      </c>
    </row>
    <row r="123">
      <c r="A123" s="10" t="s">
        <v>280</v>
      </c>
      <c r="B123" s="11" t="s">
        <v>55</v>
      </c>
      <c r="C123" s="11" t="s">
        <v>281</v>
      </c>
      <c r="D123" s="16" t="s">
        <v>282</v>
      </c>
      <c r="E123" s="11"/>
      <c r="F123" s="11" t="s">
        <v>114</v>
      </c>
      <c r="G123" s="62" t="n">
        <v>20.5</v>
      </c>
      <c r="H123" s="63" t="n">
        <v>0</v>
      </c>
      <c r="I123" s="62">
        <f>ROUND(G123*AO123,2)</f>
      </c>
      <c r="J123" s="62">
        <f>ROUND(G123*AP123,2)</f>
      </c>
      <c r="K123" s="62">
        <f>ROUND(G123*H123,2)</f>
      </c>
      <c r="L123" s="62" t="n">
        <v>0</v>
      </c>
      <c r="M123" s="62" t="n">
        <v>0</v>
      </c>
      <c r="N123" s="62">
        <f>G123*M123</f>
      </c>
      <c r="O123" s="64" t="s">
        <v>63</v>
      </c>
      <c r="Z123" s="62">
        <f>ROUND(IF(AQ123="5",BJ123,0),2)</f>
      </c>
      <c r="AB123" s="62">
        <f>ROUND(IF(AQ123="1",BH123,0),2)</f>
      </c>
      <c r="AC123" s="62">
        <f>ROUND(IF(AQ123="1",BI123,0),2)</f>
      </c>
      <c r="AD123" s="62">
        <f>ROUND(IF(AQ123="7",BH123,0),2)</f>
      </c>
      <c r="AE123" s="62">
        <f>ROUND(IF(AQ123="7",BI123,0),2)</f>
      </c>
      <c r="AF123" s="62">
        <f>ROUND(IF(AQ123="2",BH123,0),2)</f>
      </c>
      <c r="AG123" s="62">
        <f>ROUND(IF(AQ123="2",BI123,0),2)</f>
      </c>
      <c r="AH123" s="62">
        <f>ROUND(IF(AQ123="0",BJ123,0),2)</f>
      </c>
      <c r="AI123" s="35" t="s">
        <v>55</v>
      </c>
      <c r="AJ123" s="62">
        <f>IF(AN123=0,K123,0)</f>
      </c>
      <c r="AK123" s="62">
        <f>IF(AN123=12,K123,0)</f>
      </c>
      <c r="AL123" s="62">
        <f>IF(AN123=21,K123,0)</f>
      </c>
      <c r="AN123" s="62" t="n">
        <v>21</v>
      </c>
      <c r="AO123" s="62">
        <f>H123*0.327599386</f>
      </c>
      <c r="AP123" s="62">
        <f>H123*(1-0.327599386)</f>
      </c>
      <c r="AQ123" s="65" t="s">
        <v>100</v>
      </c>
      <c r="AV123" s="62">
        <f>ROUND(AW123+AX123,2)</f>
      </c>
      <c r="AW123" s="62">
        <f>ROUND(G123*AO123,2)</f>
      </c>
      <c r="AX123" s="62">
        <f>ROUND(G123*AP123,2)</f>
      </c>
      <c r="AY123" s="65" t="s">
        <v>279</v>
      </c>
      <c r="AZ123" s="65" t="s">
        <v>234</v>
      </c>
      <c r="BA123" s="35" t="s">
        <v>66</v>
      </c>
      <c r="BC123" s="62">
        <f>AW123+AX123</f>
      </c>
      <c r="BD123" s="62">
        <f>H123/(100-BE123)*100</f>
      </c>
      <c r="BE123" s="62" t="n">
        <v>0</v>
      </c>
      <c r="BF123" s="62">
        <f>N123</f>
      </c>
      <c r="BH123" s="62">
        <f>G123*AO123</f>
      </c>
      <c r="BI123" s="62">
        <f>G123*AP123</f>
      </c>
      <c r="BJ123" s="62">
        <f>G123*H123</f>
      </c>
      <c r="BK123" s="65" t="s">
        <v>67</v>
      </c>
      <c r="BL123" s="62" t="n">
        <v>766</v>
      </c>
      <c r="BW123" s="62" t="n">
        <v>21</v>
      </c>
      <c r="BX123" s="16" t="s">
        <v>282</v>
      </c>
    </row>
    <row r="124" customHeight="true" ht="13.5">
      <c r="A124" s="66"/>
      <c r="C124" s="67" t="s">
        <v>68</v>
      </c>
      <c r="D124" s="68" t="s">
        <v>283</v>
      </c>
      <c r="E124" s="69"/>
      <c r="F124" s="69"/>
      <c r="G124" s="69"/>
      <c r="H124" s="70"/>
      <c r="I124" s="69"/>
      <c r="J124" s="69"/>
      <c r="K124" s="69"/>
      <c r="L124" s="69"/>
      <c r="M124" s="69"/>
      <c r="N124" s="69"/>
      <c r="O124" s="71"/>
    </row>
    <row r="125">
      <c r="A125" s="66"/>
      <c r="D125" s="72" t="s">
        <v>284</v>
      </c>
      <c r="E125" s="73" t="s">
        <v>54</v>
      </c>
      <c r="G125" s="74" t="n">
        <v>20.5</v>
      </c>
      <c r="O125" s="75"/>
    </row>
    <row r="126">
      <c r="A126" s="10" t="s">
        <v>285</v>
      </c>
      <c r="B126" s="11" t="s">
        <v>55</v>
      </c>
      <c r="C126" s="11" t="s">
        <v>286</v>
      </c>
      <c r="D126" s="16" t="s">
        <v>287</v>
      </c>
      <c r="E126" s="11"/>
      <c r="F126" s="11" t="s">
        <v>103</v>
      </c>
      <c r="G126" s="62" t="n">
        <v>2</v>
      </c>
      <c r="H126" s="63" t="n">
        <v>0</v>
      </c>
      <c r="I126" s="62">
        <f>ROUND(G126*AO126,2)</f>
      </c>
      <c r="J126" s="62">
        <f>ROUND(G126*AP126,2)</f>
      </c>
      <c r="K126" s="62">
        <f>ROUND(G126*H126,2)</f>
      </c>
      <c r="L126" s="62" t="n">
        <v>1E-5</v>
      </c>
      <c r="M126" s="62" t="n">
        <v>1E-5</v>
      </c>
      <c r="N126" s="62">
        <f>G126*M126</f>
      </c>
      <c r="O126" s="64" t="s">
        <v>63</v>
      </c>
      <c r="Z126" s="62">
        <f>ROUND(IF(AQ126="5",BJ126,0),2)</f>
      </c>
      <c r="AB126" s="62">
        <f>ROUND(IF(AQ126="1",BH126,0),2)</f>
      </c>
      <c r="AC126" s="62">
        <f>ROUND(IF(AQ126="1",BI126,0),2)</f>
      </c>
      <c r="AD126" s="62">
        <f>ROUND(IF(AQ126="7",BH126,0),2)</f>
      </c>
      <c r="AE126" s="62">
        <f>ROUND(IF(AQ126="7",BI126,0),2)</f>
      </c>
      <c r="AF126" s="62">
        <f>ROUND(IF(AQ126="2",BH126,0),2)</f>
      </c>
      <c r="AG126" s="62">
        <f>ROUND(IF(AQ126="2",BI126,0),2)</f>
      </c>
      <c r="AH126" s="62">
        <f>ROUND(IF(AQ126="0",BJ126,0),2)</f>
      </c>
      <c r="AI126" s="35" t="s">
        <v>55</v>
      </c>
      <c r="AJ126" s="62">
        <f>IF(AN126=0,K126,0)</f>
      </c>
      <c r="AK126" s="62">
        <f>IF(AN126=12,K126,0)</f>
      </c>
      <c r="AL126" s="62">
        <f>IF(AN126=21,K126,0)</f>
      </c>
      <c r="AN126" s="62" t="n">
        <v>21</v>
      </c>
      <c r="AO126" s="62">
        <f>H126*0.021851852</f>
      </c>
      <c r="AP126" s="62">
        <f>H126*(1-0.021851852)</f>
      </c>
      <c r="AQ126" s="65" t="s">
        <v>100</v>
      </c>
      <c r="AV126" s="62">
        <f>ROUND(AW126+AX126,2)</f>
      </c>
      <c r="AW126" s="62">
        <f>ROUND(G126*AO126,2)</f>
      </c>
      <c r="AX126" s="62">
        <f>ROUND(G126*AP126,2)</f>
      </c>
      <c r="AY126" s="65" t="s">
        <v>279</v>
      </c>
      <c r="AZ126" s="65" t="s">
        <v>234</v>
      </c>
      <c r="BA126" s="35" t="s">
        <v>66</v>
      </c>
      <c r="BC126" s="62">
        <f>AW126+AX126</f>
      </c>
      <c r="BD126" s="62">
        <f>H126/(100-BE126)*100</f>
      </c>
      <c r="BE126" s="62" t="n">
        <v>0</v>
      </c>
      <c r="BF126" s="62">
        <f>N126</f>
      </c>
      <c r="BH126" s="62">
        <f>G126*AO126</f>
      </c>
      <c r="BI126" s="62">
        <f>G126*AP126</f>
      </c>
      <c r="BJ126" s="62">
        <f>G126*H126</f>
      </c>
      <c r="BK126" s="65" t="s">
        <v>67</v>
      </c>
      <c r="BL126" s="62" t="n">
        <v>766</v>
      </c>
      <c r="BW126" s="62" t="n">
        <v>21</v>
      </c>
      <c r="BX126" s="16" t="s">
        <v>287</v>
      </c>
    </row>
    <row r="127">
      <c r="A127" s="10" t="s">
        <v>288</v>
      </c>
      <c r="B127" s="11" t="s">
        <v>55</v>
      </c>
      <c r="C127" s="11" t="s">
        <v>289</v>
      </c>
      <c r="D127" s="16" t="s">
        <v>290</v>
      </c>
      <c r="E127" s="11"/>
      <c r="F127" s="11" t="s">
        <v>103</v>
      </c>
      <c r="G127" s="62" t="n">
        <v>2</v>
      </c>
      <c r="H127" s="63" t="n">
        <v>0</v>
      </c>
      <c r="I127" s="62">
        <f>ROUND(G127*AO127,2)</f>
      </c>
      <c r="J127" s="62">
        <f>ROUND(G127*AP127,2)</f>
      </c>
      <c r="K127" s="62">
        <f>ROUND(G127*H127,2)</f>
      </c>
      <c r="L127" s="62" t="n">
        <v>2E-5</v>
      </c>
      <c r="M127" s="62" t="n">
        <v>2E-5</v>
      </c>
      <c r="N127" s="62">
        <f>G127*M127</f>
      </c>
      <c r="O127" s="64" t="s">
        <v>63</v>
      </c>
      <c r="Z127" s="62">
        <f>ROUND(IF(AQ127="5",BJ127,0),2)</f>
      </c>
      <c r="AB127" s="62">
        <f>ROUND(IF(AQ127="1",BH127,0),2)</f>
      </c>
      <c r="AC127" s="62">
        <f>ROUND(IF(AQ127="1",BI127,0),2)</f>
      </c>
      <c r="AD127" s="62">
        <f>ROUND(IF(AQ127="7",BH127,0),2)</f>
      </c>
      <c r="AE127" s="62">
        <f>ROUND(IF(AQ127="7",BI127,0),2)</f>
      </c>
      <c r="AF127" s="62">
        <f>ROUND(IF(AQ127="2",BH127,0),2)</f>
      </c>
      <c r="AG127" s="62">
        <f>ROUND(IF(AQ127="2",BI127,0),2)</f>
      </c>
      <c r="AH127" s="62">
        <f>ROUND(IF(AQ127="0",BJ127,0),2)</f>
      </c>
      <c r="AI127" s="35" t="s">
        <v>55</v>
      </c>
      <c r="AJ127" s="62">
        <f>IF(AN127=0,K127,0)</f>
      </c>
      <c r="AK127" s="62">
        <f>IF(AN127=12,K127,0)</f>
      </c>
      <c r="AL127" s="62">
        <f>IF(AN127=21,K127,0)</f>
      </c>
      <c r="AN127" s="62" t="n">
        <v>21</v>
      </c>
      <c r="AO127" s="62">
        <f>H127*0.0202372</f>
      </c>
      <c r="AP127" s="62">
        <f>H127*(1-0.0202372)</f>
      </c>
      <c r="AQ127" s="65" t="s">
        <v>100</v>
      </c>
      <c r="AV127" s="62">
        <f>ROUND(AW127+AX127,2)</f>
      </c>
      <c r="AW127" s="62">
        <f>ROUND(G127*AO127,2)</f>
      </c>
      <c r="AX127" s="62">
        <f>ROUND(G127*AP127,2)</f>
      </c>
      <c r="AY127" s="65" t="s">
        <v>279</v>
      </c>
      <c r="AZ127" s="65" t="s">
        <v>234</v>
      </c>
      <c r="BA127" s="35" t="s">
        <v>66</v>
      </c>
      <c r="BC127" s="62">
        <f>AW127+AX127</f>
      </c>
      <c r="BD127" s="62">
        <f>H127/(100-BE127)*100</f>
      </c>
      <c r="BE127" s="62" t="n">
        <v>0</v>
      </c>
      <c r="BF127" s="62">
        <f>N127</f>
      </c>
      <c r="BH127" s="62">
        <f>G127*AO127</f>
      </c>
      <c r="BI127" s="62">
        <f>G127*AP127</f>
      </c>
      <c r="BJ127" s="62">
        <f>G127*H127</f>
      </c>
      <c r="BK127" s="65" t="s">
        <v>67</v>
      </c>
      <c r="BL127" s="62" t="n">
        <v>766</v>
      </c>
      <c r="BW127" s="62" t="n">
        <v>21</v>
      </c>
      <c r="BX127" s="16" t="s">
        <v>290</v>
      </c>
    </row>
    <row r="128">
      <c r="A128" s="10" t="s">
        <v>291</v>
      </c>
      <c r="B128" s="11" t="s">
        <v>55</v>
      </c>
      <c r="C128" s="11" t="s">
        <v>292</v>
      </c>
      <c r="D128" s="16" t="s">
        <v>293</v>
      </c>
      <c r="E128" s="11"/>
      <c r="F128" s="11" t="s">
        <v>114</v>
      </c>
      <c r="G128" s="62" t="n">
        <v>7.1</v>
      </c>
      <c r="H128" s="63" t="n">
        <v>0</v>
      </c>
      <c r="I128" s="62">
        <f>ROUND(G128*AO128,2)</f>
      </c>
      <c r="J128" s="62">
        <f>ROUND(G128*AP128,2)</f>
      </c>
      <c r="K128" s="62">
        <f>ROUND(G128*H128,2)</f>
      </c>
      <c r="L128" s="62" t="n">
        <v>2E-5</v>
      </c>
      <c r="M128" s="62" t="n">
        <v>2E-5</v>
      </c>
      <c r="N128" s="62">
        <f>G128*M128</f>
      </c>
      <c r="O128" s="64" t="s">
        <v>63</v>
      </c>
      <c r="Z128" s="62">
        <f>ROUND(IF(AQ128="5",BJ128,0),2)</f>
      </c>
      <c r="AB128" s="62">
        <f>ROUND(IF(AQ128="1",BH128,0),2)</f>
      </c>
      <c r="AC128" s="62">
        <f>ROUND(IF(AQ128="1",BI128,0),2)</f>
      </c>
      <c r="AD128" s="62">
        <f>ROUND(IF(AQ128="7",BH128,0),2)</f>
      </c>
      <c r="AE128" s="62">
        <f>ROUND(IF(AQ128="7",BI128,0),2)</f>
      </c>
      <c r="AF128" s="62">
        <f>ROUND(IF(AQ128="2",BH128,0),2)</f>
      </c>
      <c r="AG128" s="62">
        <f>ROUND(IF(AQ128="2",BI128,0),2)</f>
      </c>
      <c r="AH128" s="62">
        <f>ROUND(IF(AQ128="0",BJ128,0),2)</f>
      </c>
      <c r="AI128" s="35" t="s">
        <v>55</v>
      </c>
      <c r="AJ128" s="62">
        <f>IF(AN128=0,K128,0)</f>
      </c>
      <c r="AK128" s="62">
        <f>IF(AN128=12,K128,0)</f>
      </c>
      <c r="AL128" s="62">
        <f>IF(AN128=21,K128,0)</f>
      </c>
      <c r="AN128" s="62" t="n">
        <v>21</v>
      </c>
      <c r="AO128" s="62">
        <f>H128*0.041260528</f>
      </c>
      <c r="AP128" s="62">
        <f>H128*(1-0.041260528)</f>
      </c>
      <c r="AQ128" s="65" t="s">
        <v>100</v>
      </c>
      <c r="AV128" s="62">
        <f>ROUND(AW128+AX128,2)</f>
      </c>
      <c r="AW128" s="62">
        <f>ROUND(G128*AO128,2)</f>
      </c>
      <c r="AX128" s="62">
        <f>ROUND(G128*AP128,2)</f>
      </c>
      <c r="AY128" s="65" t="s">
        <v>279</v>
      </c>
      <c r="AZ128" s="65" t="s">
        <v>234</v>
      </c>
      <c r="BA128" s="35" t="s">
        <v>66</v>
      </c>
      <c r="BC128" s="62">
        <f>AW128+AX128</f>
      </c>
      <c r="BD128" s="62">
        <f>H128/(100-BE128)*100</f>
      </c>
      <c r="BE128" s="62" t="n">
        <v>0</v>
      </c>
      <c r="BF128" s="62">
        <f>N128</f>
      </c>
      <c r="BH128" s="62">
        <f>G128*AO128</f>
      </c>
      <c r="BI128" s="62">
        <f>G128*AP128</f>
      </c>
      <c r="BJ128" s="62">
        <f>G128*H128</f>
      </c>
      <c r="BK128" s="65" t="s">
        <v>67</v>
      </c>
      <c r="BL128" s="62" t="n">
        <v>766</v>
      </c>
      <c r="BW128" s="62" t="n">
        <v>21</v>
      </c>
      <c r="BX128" s="16" t="s">
        <v>293</v>
      </c>
    </row>
    <row r="129" customHeight="true" ht="13.5">
      <c r="A129" s="66"/>
      <c r="C129" s="67" t="s">
        <v>68</v>
      </c>
      <c r="D129" s="68" t="s">
        <v>294</v>
      </c>
      <c r="E129" s="69"/>
      <c r="F129" s="69"/>
      <c r="G129" s="69"/>
      <c r="H129" s="70"/>
      <c r="I129" s="69"/>
      <c r="J129" s="69"/>
      <c r="K129" s="69"/>
      <c r="L129" s="69"/>
      <c r="M129" s="69"/>
      <c r="N129" s="69"/>
      <c r="O129" s="71"/>
    </row>
    <row r="130">
      <c r="A130" s="10" t="s">
        <v>295</v>
      </c>
      <c r="B130" s="11" t="s">
        <v>55</v>
      </c>
      <c r="C130" s="11" t="s">
        <v>296</v>
      </c>
      <c r="D130" s="16" t="s">
        <v>297</v>
      </c>
      <c r="E130" s="11"/>
      <c r="F130" s="11" t="s">
        <v>114</v>
      </c>
      <c r="G130" s="62" t="n">
        <v>13.4</v>
      </c>
      <c r="H130" s="63" t="n">
        <v>0</v>
      </c>
      <c r="I130" s="62">
        <f>ROUND(G130*AO130,2)</f>
      </c>
      <c r="J130" s="62">
        <f>ROUND(G130*AP130,2)</f>
      </c>
      <c r="K130" s="62">
        <f>ROUND(G130*H130,2)</f>
      </c>
      <c r="L130" s="62" t="n">
        <v>0.0003</v>
      </c>
      <c r="M130" s="62" t="n">
        <v>0.0003</v>
      </c>
      <c r="N130" s="62">
        <f>G130*M130</f>
      </c>
      <c r="O130" s="64" t="s">
        <v>63</v>
      </c>
      <c r="Z130" s="62">
        <f>ROUND(IF(AQ130="5",BJ130,0),2)</f>
      </c>
      <c r="AB130" s="62">
        <f>ROUND(IF(AQ130="1",BH130,0),2)</f>
      </c>
      <c r="AC130" s="62">
        <f>ROUND(IF(AQ130="1",BI130,0),2)</f>
      </c>
      <c r="AD130" s="62">
        <f>ROUND(IF(AQ130="7",BH130,0),2)</f>
      </c>
      <c r="AE130" s="62">
        <f>ROUND(IF(AQ130="7",BI130,0),2)</f>
      </c>
      <c r="AF130" s="62">
        <f>ROUND(IF(AQ130="2",BH130,0),2)</f>
      </c>
      <c r="AG130" s="62">
        <f>ROUND(IF(AQ130="2",BI130,0),2)</f>
      </c>
      <c r="AH130" s="62">
        <f>ROUND(IF(AQ130="0",BJ130,0),2)</f>
      </c>
      <c r="AI130" s="35" t="s">
        <v>55</v>
      </c>
      <c r="AJ130" s="62">
        <f>IF(AN130=0,K130,0)</f>
      </c>
      <c r="AK130" s="62">
        <f>IF(AN130=12,K130,0)</f>
      </c>
      <c r="AL130" s="62">
        <f>IF(AN130=21,K130,0)</f>
      </c>
      <c r="AN130" s="62" t="n">
        <v>21</v>
      </c>
      <c r="AO130" s="62">
        <f>H130*0.060929648</f>
      </c>
      <c r="AP130" s="62">
        <f>H130*(1-0.060929648)</f>
      </c>
      <c r="AQ130" s="65" t="s">
        <v>100</v>
      </c>
      <c r="AV130" s="62">
        <f>ROUND(AW130+AX130,2)</f>
      </c>
      <c r="AW130" s="62">
        <f>ROUND(G130*AO130,2)</f>
      </c>
      <c r="AX130" s="62">
        <f>ROUND(G130*AP130,2)</f>
      </c>
      <c r="AY130" s="65" t="s">
        <v>279</v>
      </c>
      <c r="AZ130" s="65" t="s">
        <v>234</v>
      </c>
      <c r="BA130" s="35" t="s">
        <v>66</v>
      </c>
      <c r="BC130" s="62">
        <f>AW130+AX130</f>
      </c>
      <c r="BD130" s="62">
        <f>H130/(100-BE130)*100</f>
      </c>
      <c r="BE130" s="62" t="n">
        <v>0</v>
      </c>
      <c r="BF130" s="62">
        <f>N130</f>
      </c>
      <c r="BH130" s="62">
        <f>G130*AO130</f>
      </c>
      <c r="BI130" s="62">
        <f>G130*AP130</f>
      </c>
      <c r="BJ130" s="62">
        <f>G130*H130</f>
      </c>
      <c r="BK130" s="65" t="s">
        <v>67</v>
      </c>
      <c r="BL130" s="62" t="n">
        <v>766</v>
      </c>
      <c r="BW130" s="62" t="n">
        <v>21</v>
      </c>
      <c r="BX130" s="16" t="s">
        <v>297</v>
      </c>
    </row>
    <row r="131" customHeight="true" ht="13.5">
      <c r="A131" s="66"/>
      <c r="C131" s="67" t="s">
        <v>68</v>
      </c>
      <c r="D131" s="68" t="s">
        <v>294</v>
      </c>
      <c r="E131" s="69"/>
      <c r="F131" s="69"/>
      <c r="G131" s="69"/>
      <c r="H131" s="70"/>
      <c r="I131" s="69"/>
      <c r="J131" s="69"/>
      <c r="K131" s="69"/>
      <c r="L131" s="69"/>
      <c r="M131" s="69"/>
      <c r="N131" s="69"/>
      <c r="O131" s="71"/>
    </row>
    <row r="132">
      <c r="A132" s="66"/>
      <c r="D132" s="72" t="s">
        <v>298</v>
      </c>
      <c r="E132" s="73" t="s">
        <v>54</v>
      </c>
      <c r="G132" s="74" t="n">
        <v>13.4</v>
      </c>
      <c r="O132" s="75"/>
    </row>
    <row r="133">
      <c r="A133" s="56" t="s">
        <v>54</v>
      </c>
      <c r="B133" s="57" t="s">
        <v>55</v>
      </c>
      <c r="C133" s="57" t="s">
        <v>299</v>
      </c>
      <c r="D133" s="58" t="s">
        <v>300</v>
      </c>
      <c r="E133" s="57"/>
      <c r="F133" s="59" t="s">
        <v>4</v>
      </c>
      <c r="G133" s="59" t="s">
        <v>4</v>
      </c>
      <c r="H133" s="60" t="s">
        <v>4</v>
      </c>
      <c r="I133" s="2">
        <f>SUM(I134:I137)</f>
      </c>
      <c r="J133" s="2">
        <f>SUM(J134:J137)</f>
      </c>
      <c r="K133" s="2">
        <f>SUM(K134:K137)</f>
      </c>
      <c r="L133" s="35" t="s">
        <v>54</v>
      </c>
      <c r="M133" s="35" t="s">
        <v>54</v>
      </c>
      <c r="N133" s="2">
        <f>SUM(N134:N137)</f>
      </c>
      <c r="O133" s="61" t="s">
        <v>54</v>
      </c>
      <c r="AI133" s="35" t="s">
        <v>55</v>
      </c>
      <c r="AS133" s="2">
        <f>SUM(AJ134:AJ137)</f>
      </c>
      <c r="AT133" s="2">
        <f>SUM(AK134:AK137)</f>
      </c>
      <c r="AU133" s="2">
        <f>SUM(AL134:AL137)</f>
      </c>
    </row>
    <row r="134">
      <c r="A134" s="10" t="s">
        <v>301</v>
      </c>
      <c r="B134" s="11" t="s">
        <v>55</v>
      </c>
      <c r="C134" s="11" t="s">
        <v>302</v>
      </c>
      <c r="D134" s="16" t="s">
        <v>303</v>
      </c>
      <c r="E134" s="11"/>
      <c r="F134" s="11" t="s">
        <v>62</v>
      </c>
      <c r="G134" s="62" t="n">
        <v>3.18</v>
      </c>
      <c r="H134" s="63" t="n">
        <v>0</v>
      </c>
      <c r="I134" s="62">
        <f>ROUND(G134*AO134,2)</f>
      </c>
      <c r="J134" s="62">
        <f>ROUND(G134*AP134,2)</f>
      </c>
      <c r="K134" s="62">
        <f>ROUND(G134*H134,2)</f>
      </c>
      <c r="L134" s="62" t="n">
        <v>0.00919</v>
      </c>
      <c r="M134" s="62" t="n">
        <v>0.00919</v>
      </c>
      <c r="N134" s="62">
        <f>G134*M134</f>
      </c>
      <c r="O134" s="64" t="s">
        <v>63</v>
      </c>
      <c r="Z134" s="62">
        <f>ROUND(IF(AQ134="5",BJ134,0),2)</f>
      </c>
      <c r="AB134" s="62">
        <f>ROUND(IF(AQ134="1",BH134,0),2)</f>
      </c>
      <c r="AC134" s="62">
        <f>ROUND(IF(AQ134="1",BI134,0),2)</f>
      </c>
      <c r="AD134" s="62">
        <f>ROUND(IF(AQ134="7",BH134,0),2)</f>
      </c>
      <c r="AE134" s="62">
        <f>ROUND(IF(AQ134="7",BI134,0),2)</f>
      </c>
      <c r="AF134" s="62">
        <f>ROUND(IF(AQ134="2",BH134,0),2)</f>
      </c>
      <c r="AG134" s="62">
        <f>ROUND(IF(AQ134="2",BI134,0),2)</f>
      </c>
      <c r="AH134" s="62">
        <f>ROUND(IF(AQ134="0",BJ134,0),2)</f>
      </c>
      <c r="AI134" s="35" t="s">
        <v>55</v>
      </c>
      <c r="AJ134" s="62">
        <f>IF(AN134=0,K134,0)</f>
      </c>
      <c r="AK134" s="62">
        <f>IF(AN134=12,K134,0)</f>
      </c>
      <c r="AL134" s="62">
        <f>IF(AN134=21,K134,0)</f>
      </c>
      <c r="AN134" s="62" t="n">
        <v>21</v>
      </c>
      <c r="AO134" s="62">
        <f>H134*0.417783483</f>
      </c>
      <c r="AP134" s="62">
        <f>H134*(1-0.417783483)</f>
      </c>
      <c r="AQ134" s="65" t="s">
        <v>100</v>
      </c>
      <c r="AV134" s="62">
        <f>ROUND(AW134+AX134,2)</f>
      </c>
      <c r="AW134" s="62">
        <f>ROUND(G134*AO134,2)</f>
      </c>
      <c r="AX134" s="62">
        <f>ROUND(G134*AP134,2)</f>
      </c>
      <c r="AY134" s="65" t="s">
        <v>304</v>
      </c>
      <c r="AZ134" s="65" t="s">
        <v>305</v>
      </c>
      <c r="BA134" s="35" t="s">
        <v>66</v>
      </c>
      <c r="BC134" s="62">
        <f>AW134+AX134</f>
      </c>
      <c r="BD134" s="62">
        <f>H134/(100-BE134)*100</f>
      </c>
      <c r="BE134" s="62" t="n">
        <v>0</v>
      </c>
      <c r="BF134" s="62">
        <f>N134</f>
      </c>
      <c r="BH134" s="62">
        <f>G134*AO134</f>
      </c>
      <c r="BI134" s="62">
        <f>G134*AP134</f>
      </c>
      <c r="BJ134" s="62">
        <f>G134*H134</f>
      </c>
      <c r="BK134" s="65" t="s">
        <v>67</v>
      </c>
      <c r="BL134" s="62" t="n">
        <v>771</v>
      </c>
      <c r="BW134" s="62" t="n">
        <v>21</v>
      </c>
      <c r="BX134" s="16" t="s">
        <v>303</v>
      </c>
    </row>
    <row r="135" customHeight="true" ht="13.5">
      <c r="A135" s="66"/>
      <c r="C135" s="67" t="s">
        <v>68</v>
      </c>
      <c r="D135" s="68" t="s">
        <v>306</v>
      </c>
      <c r="E135" s="69"/>
      <c r="F135" s="69"/>
      <c r="G135" s="69"/>
      <c r="H135" s="70"/>
      <c r="I135" s="69"/>
      <c r="J135" s="69"/>
      <c r="K135" s="69"/>
      <c r="L135" s="69"/>
      <c r="M135" s="69"/>
      <c r="N135" s="69"/>
      <c r="O135" s="71"/>
    </row>
    <row r="136">
      <c r="A136" s="66"/>
      <c r="D136" s="72" t="s">
        <v>307</v>
      </c>
      <c r="E136" s="73" t="s">
        <v>54</v>
      </c>
      <c r="G136" s="74" t="n">
        <v>3.18</v>
      </c>
      <c r="O136" s="75"/>
    </row>
    <row r="137">
      <c r="A137" s="10" t="s">
        <v>308</v>
      </c>
      <c r="B137" s="11" t="s">
        <v>55</v>
      </c>
      <c r="C137" s="11" t="s">
        <v>309</v>
      </c>
      <c r="D137" s="16" t="s">
        <v>310</v>
      </c>
      <c r="E137" s="11"/>
      <c r="F137" s="11" t="s">
        <v>62</v>
      </c>
      <c r="G137" s="62" t="n">
        <v>3.18</v>
      </c>
      <c r="H137" s="63" t="n">
        <v>0</v>
      </c>
      <c r="I137" s="62">
        <f>ROUND(G137*AO137,2)</f>
      </c>
      <c r="J137" s="62">
        <f>ROUND(G137*AP137,2)</f>
      </c>
      <c r="K137" s="62">
        <f>ROUND(G137*H137,2)</f>
      </c>
      <c r="L137" s="62" t="n">
        <v>0.07546</v>
      </c>
      <c r="M137" s="62" t="n">
        <v>0.07546</v>
      </c>
      <c r="N137" s="62">
        <f>G137*M137</f>
      </c>
      <c r="O137" s="64" t="s">
        <v>63</v>
      </c>
      <c r="Z137" s="62">
        <f>ROUND(IF(AQ137="5",BJ137,0),2)</f>
      </c>
      <c r="AB137" s="62">
        <f>ROUND(IF(AQ137="1",BH137,0),2)</f>
      </c>
      <c r="AC137" s="62">
        <f>ROUND(IF(AQ137="1",BI137,0),2)</f>
      </c>
      <c r="AD137" s="62">
        <f>ROUND(IF(AQ137="7",BH137,0),2)</f>
      </c>
      <c r="AE137" s="62">
        <f>ROUND(IF(AQ137="7",BI137,0),2)</f>
      </c>
      <c r="AF137" s="62">
        <f>ROUND(IF(AQ137="2",BH137,0),2)</f>
      </c>
      <c r="AG137" s="62">
        <f>ROUND(IF(AQ137="2",BI137,0),2)</f>
      </c>
      <c r="AH137" s="62">
        <f>ROUND(IF(AQ137="0",BJ137,0),2)</f>
      </c>
      <c r="AI137" s="35" t="s">
        <v>55</v>
      </c>
      <c r="AJ137" s="62">
        <f>IF(AN137=0,K137,0)</f>
      </c>
      <c r="AK137" s="62">
        <f>IF(AN137=12,K137,0)</f>
      </c>
      <c r="AL137" s="62">
        <f>IF(AN137=21,K137,0)</f>
      </c>
      <c r="AN137" s="62" t="n">
        <v>21</v>
      </c>
      <c r="AO137" s="62">
        <f>H137*0.57231548</f>
      </c>
      <c r="AP137" s="62">
        <f>H137*(1-0.57231548)</f>
      </c>
      <c r="AQ137" s="65" t="s">
        <v>100</v>
      </c>
      <c r="AV137" s="62">
        <f>ROUND(AW137+AX137,2)</f>
      </c>
      <c r="AW137" s="62">
        <f>ROUND(G137*AO137,2)</f>
      </c>
      <c r="AX137" s="62">
        <f>ROUND(G137*AP137,2)</f>
      </c>
      <c r="AY137" s="65" t="s">
        <v>304</v>
      </c>
      <c r="AZ137" s="65" t="s">
        <v>305</v>
      </c>
      <c r="BA137" s="35" t="s">
        <v>66</v>
      </c>
      <c r="BC137" s="62">
        <f>AW137+AX137</f>
      </c>
      <c r="BD137" s="62">
        <f>H137/(100-BE137)*100</f>
      </c>
      <c r="BE137" s="62" t="n">
        <v>0</v>
      </c>
      <c r="BF137" s="62">
        <f>N137</f>
      </c>
      <c r="BH137" s="62">
        <f>G137*AO137</f>
      </c>
      <c r="BI137" s="62">
        <f>G137*AP137</f>
      </c>
      <c r="BJ137" s="62">
        <f>G137*H137</f>
      </c>
      <c r="BK137" s="65" t="s">
        <v>67</v>
      </c>
      <c r="BL137" s="62" t="n">
        <v>771</v>
      </c>
      <c r="BW137" s="62" t="n">
        <v>21</v>
      </c>
      <c r="BX137" s="16" t="s">
        <v>310</v>
      </c>
    </row>
    <row r="138" customHeight="true" ht="13.5">
      <c r="A138" s="66"/>
      <c r="C138" s="67" t="s">
        <v>68</v>
      </c>
      <c r="D138" s="68" t="s">
        <v>311</v>
      </c>
      <c r="E138" s="69"/>
      <c r="F138" s="69"/>
      <c r="G138" s="69"/>
      <c r="H138" s="70"/>
      <c r="I138" s="69"/>
      <c r="J138" s="69"/>
      <c r="K138" s="69"/>
      <c r="L138" s="69"/>
      <c r="M138" s="69"/>
      <c r="N138" s="69"/>
      <c r="O138" s="71"/>
    </row>
    <row r="139">
      <c r="A139" s="66"/>
      <c r="D139" s="72" t="s">
        <v>307</v>
      </c>
      <c r="E139" s="73" t="s">
        <v>54</v>
      </c>
      <c r="G139" s="74" t="n">
        <v>3.18</v>
      </c>
      <c r="O139" s="75"/>
    </row>
    <row r="140" customHeight="true" ht="13.5">
      <c r="A140" s="66"/>
      <c r="C140" s="76" t="s">
        <v>71</v>
      </c>
      <c r="D140" s="77" t="s">
        <v>312</v>
      </c>
      <c r="E140" s="78"/>
      <c r="F140" s="78"/>
      <c r="G140" s="78"/>
      <c r="H140" s="79"/>
      <c r="I140" s="78"/>
      <c r="J140" s="78"/>
      <c r="K140" s="78"/>
      <c r="L140" s="78"/>
      <c r="M140" s="78"/>
      <c r="N140" s="78"/>
      <c r="O140" s="80"/>
    </row>
    <row r="141">
      <c r="A141" s="56" t="s">
        <v>54</v>
      </c>
      <c r="B141" s="57" t="s">
        <v>55</v>
      </c>
      <c r="C141" s="57" t="s">
        <v>313</v>
      </c>
      <c r="D141" s="58" t="s">
        <v>314</v>
      </c>
      <c r="E141" s="57"/>
      <c r="F141" s="59" t="s">
        <v>4</v>
      </c>
      <c r="G141" s="59" t="s">
        <v>4</v>
      </c>
      <c r="H141" s="60" t="s">
        <v>4</v>
      </c>
      <c r="I141" s="2">
        <f>SUM(I142:I145)</f>
      </c>
      <c r="J141" s="2">
        <f>SUM(J142:J145)</f>
      </c>
      <c r="K141" s="2">
        <f>SUM(K142:K145)</f>
      </c>
      <c r="L141" s="35" t="s">
        <v>54</v>
      </c>
      <c r="M141" s="35" t="s">
        <v>54</v>
      </c>
      <c r="N141" s="2">
        <f>SUM(N142:N145)</f>
      </c>
      <c r="O141" s="61" t="s">
        <v>54</v>
      </c>
      <c r="AI141" s="35" t="s">
        <v>55</v>
      </c>
      <c r="AS141" s="2">
        <f>SUM(AJ142:AJ145)</f>
      </c>
      <c r="AT141" s="2">
        <f>SUM(AK142:AK145)</f>
      </c>
      <c r="AU141" s="2">
        <f>SUM(AL142:AL145)</f>
      </c>
    </row>
    <row r="142">
      <c r="A142" s="10" t="s">
        <v>315</v>
      </c>
      <c r="B142" s="11" t="s">
        <v>55</v>
      </c>
      <c r="C142" s="11" t="s">
        <v>316</v>
      </c>
      <c r="D142" s="16" t="s">
        <v>317</v>
      </c>
      <c r="E142" s="11"/>
      <c r="F142" s="11" t="s">
        <v>62</v>
      </c>
      <c r="G142" s="62" t="n">
        <v>0.46</v>
      </c>
      <c r="H142" s="63" t="n">
        <v>0</v>
      </c>
      <c r="I142" s="62">
        <f>ROUND(G142*AO142,2)</f>
      </c>
      <c r="J142" s="62">
        <f>ROUND(G142*AP142,2)</f>
      </c>
      <c r="K142" s="62">
        <f>ROUND(G142*H142,2)</f>
      </c>
      <c r="L142" s="62" t="n">
        <v>0.00032</v>
      </c>
      <c r="M142" s="62" t="n">
        <v>0.00032</v>
      </c>
      <c r="N142" s="62">
        <f>G142*M142</f>
      </c>
      <c r="O142" s="64" t="s">
        <v>63</v>
      </c>
      <c r="Z142" s="62">
        <f>ROUND(IF(AQ142="5",BJ142,0),2)</f>
      </c>
      <c r="AB142" s="62">
        <f>ROUND(IF(AQ142="1",BH142,0),2)</f>
      </c>
      <c r="AC142" s="62">
        <f>ROUND(IF(AQ142="1",BI142,0),2)</f>
      </c>
      <c r="AD142" s="62">
        <f>ROUND(IF(AQ142="7",BH142,0),2)</f>
      </c>
      <c r="AE142" s="62">
        <f>ROUND(IF(AQ142="7",BI142,0),2)</f>
      </c>
      <c r="AF142" s="62">
        <f>ROUND(IF(AQ142="2",BH142,0),2)</f>
      </c>
      <c r="AG142" s="62">
        <f>ROUND(IF(AQ142="2",BI142,0),2)</f>
      </c>
      <c r="AH142" s="62">
        <f>ROUND(IF(AQ142="0",BJ142,0),2)</f>
      </c>
      <c r="AI142" s="35" t="s">
        <v>55</v>
      </c>
      <c r="AJ142" s="62">
        <f>IF(AN142=0,K142,0)</f>
      </c>
      <c r="AK142" s="62">
        <f>IF(AN142=12,K142,0)</f>
      </c>
      <c r="AL142" s="62">
        <f>IF(AN142=21,K142,0)</f>
      </c>
      <c r="AN142" s="62" t="n">
        <v>21</v>
      </c>
      <c r="AO142" s="62">
        <f>H142*0.412908871</f>
      </c>
      <c r="AP142" s="62">
        <f>H142*(1-0.412908871)</f>
      </c>
      <c r="AQ142" s="65" t="s">
        <v>100</v>
      </c>
      <c r="AV142" s="62">
        <f>ROUND(AW142+AX142,2)</f>
      </c>
      <c r="AW142" s="62">
        <f>ROUND(G142*AO142,2)</f>
      </c>
      <c r="AX142" s="62">
        <f>ROUND(G142*AP142,2)</f>
      </c>
      <c r="AY142" s="65" t="s">
        <v>318</v>
      </c>
      <c r="AZ142" s="65" t="s">
        <v>319</v>
      </c>
      <c r="BA142" s="35" t="s">
        <v>66</v>
      </c>
      <c r="BC142" s="62">
        <f>AW142+AX142</f>
      </c>
      <c r="BD142" s="62">
        <f>H142/(100-BE142)*100</f>
      </c>
      <c r="BE142" s="62" t="n">
        <v>0</v>
      </c>
      <c r="BF142" s="62">
        <f>N142</f>
      </c>
      <c r="BH142" s="62">
        <f>G142*AO142</f>
      </c>
      <c r="BI142" s="62">
        <f>G142*AP142</f>
      </c>
      <c r="BJ142" s="62">
        <f>G142*H142</f>
      </c>
      <c r="BK142" s="65" t="s">
        <v>67</v>
      </c>
      <c r="BL142" s="62" t="n">
        <v>783</v>
      </c>
      <c r="BW142" s="62" t="n">
        <v>21</v>
      </c>
      <c r="BX142" s="16" t="s">
        <v>317</v>
      </c>
    </row>
    <row r="143">
      <c r="A143" s="10" t="s">
        <v>320</v>
      </c>
      <c r="B143" s="11" t="s">
        <v>55</v>
      </c>
      <c r="C143" s="11" t="s">
        <v>321</v>
      </c>
      <c r="D143" s="16" t="s">
        <v>322</v>
      </c>
      <c r="E143" s="11"/>
      <c r="F143" s="11" t="s">
        <v>62</v>
      </c>
      <c r="G143" s="62" t="n">
        <v>0.46</v>
      </c>
      <c r="H143" s="63" t="n">
        <v>0</v>
      </c>
      <c r="I143" s="62">
        <f>ROUND(G143*AO143,2)</f>
      </c>
      <c r="J143" s="62">
        <f>ROUND(G143*AP143,2)</f>
      </c>
      <c r="K143" s="62">
        <f>ROUND(G143*H143,2)</f>
      </c>
      <c r="L143" s="62" t="n">
        <v>8E-5</v>
      </c>
      <c r="M143" s="62" t="n">
        <v>8E-5</v>
      </c>
      <c r="N143" s="62">
        <f>G143*M143</f>
      </c>
      <c r="O143" s="64" t="s">
        <v>63</v>
      </c>
      <c r="Z143" s="62">
        <f>ROUND(IF(AQ143="5",BJ143,0),2)</f>
      </c>
      <c r="AB143" s="62">
        <f>ROUND(IF(AQ143="1",BH143,0),2)</f>
      </c>
      <c r="AC143" s="62">
        <f>ROUND(IF(AQ143="1",BI143,0),2)</f>
      </c>
      <c r="AD143" s="62">
        <f>ROUND(IF(AQ143="7",BH143,0),2)</f>
      </c>
      <c r="AE143" s="62">
        <f>ROUND(IF(AQ143="7",BI143,0),2)</f>
      </c>
      <c r="AF143" s="62">
        <f>ROUND(IF(AQ143="2",BH143,0),2)</f>
      </c>
      <c r="AG143" s="62">
        <f>ROUND(IF(AQ143="2",BI143,0),2)</f>
      </c>
      <c r="AH143" s="62">
        <f>ROUND(IF(AQ143="0",BJ143,0),2)</f>
      </c>
      <c r="AI143" s="35" t="s">
        <v>55</v>
      </c>
      <c r="AJ143" s="62">
        <f>IF(AN143=0,K143,0)</f>
      </c>
      <c r="AK143" s="62">
        <f>IF(AN143=12,K143,0)</f>
      </c>
      <c r="AL143" s="62">
        <f>IF(AN143=21,K143,0)</f>
      </c>
      <c r="AN143" s="62" t="n">
        <v>21</v>
      </c>
      <c r="AO143" s="62">
        <f>H143*0.12522007</f>
      </c>
      <c r="AP143" s="62">
        <f>H143*(1-0.12522007)</f>
      </c>
      <c r="AQ143" s="65" t="s">
        <v>100</v>
      </c>
      <c r="AV143" s="62">
        <f>ROUND(AW143+AX143,2)</f>
      </c>
      <c r="AW143" s="62">
        <f>ROUND(G143*AO143,2)</f>
      </c>
      <c r="AX143" s="62">
        <f>ROUND(G143*AP143,2)</f>
      </c>
      <c r="AY143" s="65" t="s">
        <v>318</v>
      </c>
      <c r="AZ143" s="65" t="s">
        <v>319</v>
      </c>
      <c r="BA143" s="35" t="s">
        <v>66</v>
      </c>
      <c r="BC143" s="62">
        <f>AW143+AX143</f>
      </c>
      <c r="BD143" s="62">
        <f>H143/(100-BE143)*100</f>
      </c>
      <c r="BE143" s="62" t="n">
        <v>0</v>
      </c>
      <c r="BF143" s="62">
        <f>N143</f>
      </c>
      <c r="BH143" s="62">
        <f>G143*AO143</f>
      </c>
      <c r="BI143" s="62">
        <f>G143*AP143</f>
      </c>
      <c r="BJ143" s="62">
        <f>G143*H143</f>
      </c>
      <c r="BK143" s="65" t="s">
        <v>67</v>
      </c>
      <c r="BL143" s="62" t="n">
        <v>783</v>
      </c>
      <c r="BW143" s="62" t="n">
        <v>21</v>
      </c>
      <c r="BX143" s="16" t="s">
        <v>322</v>
      </c>
    </row>
    <row r="144">
      <c r="A144" s="66"/>
      <c r="D144" s="72" t="s">
        <v>323</v>
      </c>
      <c r="E144" s="73" t="s">
        <v>54</v>
      </c>
      <c r="G144" s="74" t="n">
        <v>0.46</v>
      </c>
      <c r="O144" s="75"/>
    </row>
    <row r="145">
      <c r="A145" s="10" t="s">
        <v>324</v>
      </c>
      <c r="B145" s="11" t="s">
        <v>55</v>
      </c>
      <c r="C145" s="11" t="s">
        <v>325</v>
      </c>
      <c r="D145" s="16" t="s">
        <v>326</v>
      </c>
      <c r="E145" s="11"/>
      <c r="F145" s="11" t="s">
        <v>62</v>
      </c>
      <c r="G145" s="62" t="n">
        <v>24.23</v>
      </c>
      <c r="H145" s="63" t="n">
        <v>0</v>
      </c>
      <c r="I145" s="62">
        <f>ROUND(G145*AO145,2)</f>
      </c>
      <c r="J145" s="62">
        <f>ROUND(G145*AP145,2)</f>
      </c>
      <c r="K145" s="62">
        <f>ROUND(G145*H145,2)</f>
      </c>
      <c r="L145" s="62" t="n">
        <v>0.00043</v>
      </c>
      <c r="M145" s="62" t="n">
        <v>0.00043</v>
      </c>
      <c r="N145" s="62">
        <f>G145*M145</f>
      </c>
      <c r="O145" s="64" t="s">
        <v>63</v>
      </c>
      <c r="Z145" s="62">
        <f>ROUND(IF(AQ145="5",BJ145,0),2)</f>
      </c>
      <c r="AB145" s="62">
        <f>ROUND(IF(AQ145="1",BH145,0),2)</f>
      </c>
      <c r="AC145" s="62">
        <f>ROUND(IF(AQ145="1",BI145,0),2)</f>
      </c>
      <c r="AD145" s="62">
        <f>ROUND(IF(AQ145="7",BH145,0),2)</f>
      </c>
      <c r="AE145" s="62">
        <f>ROUND(IF(AQ145="7",BI145,0),2)</f>
      </c>
      <c r="AF145" s="62">
        <f>ROUND(IF(AQ145="2",BH145,0),2)</f>
      </c>
      <c r="AG145" s="62">
        <f>ROUND(IF(AQ145="2",BI145,0),2)</f>
      </c>
      <c r="AH145" s="62">
        <f>ROUND(IF(AQ145="0",BJ145,0),2)</f>
      </c>
      <c r="AI145" s="35" t="s">
        <v>55</v>
      </c>
      <c r="AJ145" s="62">
        <f>IF(AN145=0,K145,0)</f>
      </c>
      <c r="AK145" s="62">
        <f>IF(AN145=12,K145,0)</f>
      </c>
      <c r="AL145" s="62">
        <f>IF(AN145=21,K145,0)</f>
      </c>
      <c r="AN145" s="62" t="n">
        <v>21</v>
      </c>
      <c r="AO145" s="62">
        <f>H145*0.421079467</f>
      </c>
      <c r="AP145" s="62">
        <f>H145*(1-0.421079467)</f>
      </c>
      <c r="AQ145" s="65" t="s">
        <v>100</v>
      </c>
      <c r="AV145" s="62">
        <f>ROUND(AW145+AX145,2)</f>
      </c>
      <c r="AW145" s="62">
        <f>ROUND(G145*AO145,2)</f>
      </c>
      <c r="AX145" s="62">
        <f>ROUND(G145*AP145,2)</f>
      </c>
      <c r="AY145" s="65" t="s">
        <v>318</v>
      </c>
      <c r="AZ145" s="65" t="s">
        <v>319</v>
      </c>
      <c r="BA145" s="35" t="s">
        <v>66</v>
      </c>
      <c r="BC145" s="62">
        <f>AW145+AX145</f>
      </c>
      <c r="BD145" s="62">
        <f>H145/(100-BE145)*100</f>
      </c>
      <c r="BE145" s="62" t="n">
        <v>0</v>
      </c>
      <c r="BF145" s="62">
        <f>N145</f>
      </c>
      <c r="BH145" s="62">
        <f>G145*AO145</f>
      </c>
      <c r="BI145" s="62">
        <f>G145*AP145</f>
      </c>
      <c r="BJ145" s="62">
        <f>G145*H145</f>
      </c>
      <c r="BK145" s="65" t="s">
        <v>67</v>
      </c>
      <c r="BL145" s="62" t="n">
        <v>783</v>
      </c>
      <c r="BW145" s="62" t="n">
        <v>21</v>
      </c>
      <c r="BX145" s="16" t="s">
        <v>326</v>
      </c>
    </row>
    <row r="146" customHeight="true" ht="13.5">
      <c r="A146" s="66"/>
      <c r="C146" s="67" t="s">
        <v>68</v>
      </c>
      <c r="D146" s="68" t="s">
        <v>327</v>
      </c>
      <c r="E146" s="69"/>
      <c r="F146" s="69"/>
      <c r="G146" s="69"/>
      <c r="H146" s="70"/>
      <c r="I146" s="69"/>
      <c r="J146" s="69"/>
      <c r="K146" s="69"/>
      <c r="L146" s="69"/>
      <c r="M146" s="69"/>
      <c r="N146" s="69"/>
      <c r="O146" s="71"/>
    </row>
    <row r="147">
      <c r="A147" s="66"/>
      <c r="D147" s="72" t="s">
        <v>328</v>
      </c>
      <c r="E147" s="73" t="s">
        <v>54</v>
      </c>
      <c r="G147" s="74" t="n">
        <v>24.23</v>
      </c>
      <c r="O147" s="75"/>
    </row>
    <row r="148" customHeight="true" ht="13.5">
      <c r="A148" s="66"/>
      <c r="C148" s="76" t="s">
        <v>71</v>
      </c>
      <c r="D148" s="77" t="s">
        <v>329</v>
      </c>
      <c r="E148" s="78"/>
      <c r="F148" s="78"/>
      <c r="G148" s="78"/>
      <c r="H148" s="79"/>
      <c r="I148" s="78"/>
      <c r="J148" s="78"/>
      <c r="K148" s="78"/>
      <c r="L148" s="78"/>
      <c r="M148" s="78"/>
      <c r="N148" s="78"/>
      <c r="O148" s="80"/>
    </row>
    <row r="149">
      <c r="A149" s="56" t="s">
        <v>54</v>
      </c>
      <c r="B149" s="57" t="s">
        <v>55</v>
      </c>
      <c r="C149" s="57" t="s">
        <v>330</v>
      </c>
      <c r="D149" s="58" t="s">
        <v>331</v>
      </c>
      <c r="E149" s="57"/>
      <c r="F149" s="59" t="s">
        <v>4</v>
      </c>
      <c r="G149" s="59" t="s">
        <v>4</v>
      </c>
      <c r="H149" s="60" t="s">
        <v>4</v>
      </c>
      <c r="I149" s="2">
        <f>SUM(I150:I158)</f>
      </c>
      <c r="J149" s="2">
        <f>SUM(J150:J158)</f>
      </c>
      <c r="K149" s="2">
        <f>SUM(K150:K158)</f>
      </c>
      <c r="L149" s="35" t="s">
        <v>54</v>
      </c>
      <c r="M149" s="35" t="s">
        <v>54</v>
      </c>
      <c r="N149" s="2">
        <f>SUM(N150:N158)</f>
      </c>
      <c r="O149" s="61" t="s">
        <v>54</v>
      </c>
      <c r="AI149" s="35" t="s">
        <v>55</v>
      </c>
      <c r="AS149" s="2">
        <f>SUM(AJ150:AJ158)</f>
      </c>
      <c r="AT149" s="2">
        <f>SUM(AK150:AK158)</f>
      </c>
      <c r="AU149" s="2">
        <f>SUM(AL150:AL158)</f>
      </c>
    </row>
    <row r="150">
      <c r="A150" s="10" t="s">
        <v>332</v>
      </c>
      <c r="B150" s="11" t="s">
        <v>55</v>
      </c>
      <c r="C150" s="11" t="s">
        <v>333</v>
      </c>
      <c r="D150" s="16" t="s">
        <v>334</v>
      </c>
      <c r="E150" s="11"/>
      <c r="F150" s="11" t="s">
        <v>62</v>
      </c>
      <c r="G150" s="62" t="n">
        <v>50</v>
      </c>
      <c r="H150" s="63" t="n">
        <v>0</v>
      </c>
      <c r="I150" s="62">
        <f>ROUND(G150*AO150,2)</f>
      </c>
      <c r="J150" s="62">
        <f>ROUND(G150*AP150,2)</f>
      </c>
      <c r="K150" s="62">
        <f>ROUND(G150*H150,2)</f>
      </c>
      <c r="L150" s="62" t="n">
        <v>1E-5</v>
      </c>
      <c r="M150" s="62" t="n">
        <v>1E-5</v>
      </c>
      <c r="N150" s="62">
        <f>G150*M150</f>
      </c>
      <c r="O150" s="64" t="s">
        <v>63</v>
      </c>
      <c r="Z150" s="62">
        <f>ROUND(IF(AQ150="5",BJ150,0),2)</f>
      </c>
      <c r="AB150" s="62">
        <f>ROUND(IF(AQ150="1",BH150,0),2)</f>
      </c>
      <c r="AC150" s="62">
        <f>ROUND(IF(AQ150="1",BI150,0),2)</f>
      </c>
      <c r="AD150" s="62">
        <f>ROUND(IF(AQ150="7",BH150,0),2)</f>
      </c>
      <c r="AE150" s="62">
        <f>ROUND(IF(AQ150="7",BI150,0),2)</f>
      </c>
      <c r="AF150" s="62">
        <f>ROUND(IF(AQ150="2",BH150,0),2)</f>
      </c>
      <c r="AG150" s="62">
        <f>ROUND(IF(AQ150="2",BI150,0),2)</f>
      </c>
      <c r="AH150" s="62">
        <f>ROUND(IF(AQ150="0",BJ150,0),2)</f>
      </c>
      <c r="AI150" s="35" t="s">
        <v>55</v>
      </c>
      <c r="AJ150" s="62">
        <f>IF(AN150=0,K150,0)</f>
      </c>
      <c r="AK150" s="62">
        <f>IF(AN150=12,K150,0)</f>
      </c>
      <c r="AL150" s="62">
        <f>IF(AN150=21,K150,0)</f>
      </c>
      <c r="AN150" s="62" t="n">
        <v>21</v>
      </c>
      <c r="AO150" s="62">
        <f>H150*0.236831988</f>
      </c>
      <c r="AP150" s="62">
        <f>H150*(1-0.236831988)</f>
      </c>
      <c r="AQ150" s="65" t="s">
        <v>100</v>
      </c>
      <c r="AV150" s="62">
        <f>ROUND(AW150+AX150,2)</f>
      </c>
      <c r="AW150" s="62">
        <f>ROUND(G150*AO150,2)</f>
      </c>
      <c r="AX150" s="62">
        <f>ROUND(G150*AP150,2)</f>
      </c>
      <c r="AY150" s="65" t="s">
        <v>335</v>
      </c>
      <c r="AZ150" s="65" t="s">
        <v>319</v>
      </c>
      <c r="BA150" s="35" t="s">
        <v>66</v>
      </c>
      <c r="BC150" s="62">
        <f>AW150+AX150</f>
      </c>
      <c r="BD150" s="62">
        <f>H150/(100-BE150)*100</f>
      </c>
      <c r="BE150" s="62" t="n">
        <v>0</v>
      </c>
      <c r="BF150" s="62">
        <f>N150</f>
      </c>
      <c r="BH150" s="62">
        <f>G150*AO150</f>
      </c>
      <c r="BI150" s="62">
        <f>G150*AP150</f>
      </c>
      <c r="BJ150" s="62">
        <f>G150*H150</f>
      </c>
      <c r="BK150" s="65" t="s">
        <v>67</v>
      </c>
      <c r="BL150" s="62" t="n">
        <v>784</v>
      </c>
      <c r="BW150" s="62" t="n">
        <v>21</v>
      </c>
      <c r="BX150" s="16" t="s">
        <v>334</v>
      </c>
    </row>
    <row r="151" customHeight="true" ht="13.5">
      <c r="A151" s="66"/>
      <c r="C151" s="67" t="s">
        <v>68</v>
      </c>
      <c r="D151" s="68" t="s">
        <v>336</v>
      </c>
      <c r="E151" s="69"/>
      <c r="F151" s="69"/>
      <c r="G151" s="69"/>
      <c r="H151" s="70"/>
      <c r="I151" s="69"/>
      <c r="J151" s="69"/>
      <c r="K151" s="69"/>
      <c r="L151" s="69"/>
      <c r="M151" s="69"/>
      <c r="N151" s="69"/>
      <c r="O151" s="71"/>
    </row>
    <row r="152">
      <c r="A152" s="10" t="s">
        <v>337</v>
      </c>
      <c r="B152" s="11" t="s">
        <v>55</v>
      </c>
      <c r="C152" s="11" t="s">
        <v>338</v>
      </c>
      <c r="D152" s="16" t="s">
        <v>339</v>
      </c>
      <c r="E152" s="11"/>
      <c r="F152" s="11" t="s">
        <v>62</v>
      </c>
      <c r="G152" s="62" t="n">
        <v>115</v>
      </c>
      <c r="H152" s="63" t="n">
        <v>0</v>
      </c>
      <c r="I152" s="62">
        <f>ROUND(G152*AO152,2)</f>
      </c>
      <c r="J152" s="62">
        <f>ROUND(G152*AP152,2)</f>
      </c>
      <c r="K152" s="62">
        <f>ROUND(G152*H152,2)</f>
      </c>
      <c r="L152" s="62" t="n">
        <v>0.00035</v>
      </c>
      <c r="M152" s="62" t="n">
        <v>0.00035</v>
      </c>
      <c r="N152" s="62">
        <f>G152*M152</f>
      </c>
      <c r="O152" s="64" t="s">
        <v>63</v>
      </c>
      <c r="Z152" s="62">
        <f>ROUND(IF(AQ152="5",BJ152,0),2)</f>
      </c>
      <c r="AB152" s="62">
        <f>ROUND(IF(AQ152="1",BH152,0),2)</f>
      </c>
      <c r="AC152" s="62">
        <f>ROUND(IF(AQ152="1",BI152,0),2)</f>
      </c>
      <c r="AD152" s="62">
        <f>ROUND(IF(AQ152="7",BH152,0),2)</f>
      </c>
      <c r="AE152" s="62">
        <f>ROUND(IF(AQ152="7",BI152,0),2)</f>
      </c>
      <c r="AF152" s="62">
        <f>ROUND(IF(AQ152="2",BH152,0),2)</f>
      </c>
      <c r="AG152" s="62">
        <f>ROUND(IF(AQ152="2",BI152,0),2)</f>
      </c>
      <c r="AH152" s="62">
        <f>ROUND(IF(AQ152="0",BJ152,0),2)</f>
      </c>
      <c r="AI152" s="35" t="s">
        <v>55</v>
      </c>
      <c r="AJ152" s="62">
        <f>IF(AN152=0,K152,0)</f>
      </c>
      <c r="AK152" s="62">
        <f>IF(AN152=12,K152,0)</f>
      </c>
      <c r="AL152" s="62">
        <f>IF(AN152=21,K152,0)</f>
      </c>
      <c r="AN152" s="62" t="n">
        <v>21</v>
      </c>
      <c r="AO152" s="62">
        <f>H152*0.577224527</f>
      </c>
      <c r="AP152" s="62">
        <f>H152*(1-0.577224527)</f>
      </c>
      <c r="AQ152" s="65" t="s">
        <v>100</v>
      </c>
      <c r="AV152" s="62">
        <f>ROUND(AW152+AX152,2)</f>
      </c>
      <c r="AW152" s="62">
        <f>ROUND(G152*AO152,2)</f>
      </c>
      <c r="AX152" s="62">
        <f>ROUND(G152*AP152,2)</f>
      </c>
      <c r="AY152" s="65" t="s">
        <v>335</v>
      </c>
      <c r="AZ152" s="65" t="s">
        <v>319</v>
      </c>
      <c r="BA152" s="35" t="s">
        <v>66</v>
      </c>
      <c r="BC152" s="62">
        <f>AW152+AX152</f>
      </c>
      <c r="BD152" s="62">
        <f>H152/(100-BE152)*100</f>
      </c>
      <c r="BE152" s="62" t="n">
        <v>0</v>
      </c>
      <c r="BF152" s="62">
        <f>N152</f>
      </c>
      <c r="BH152" s="62">
        <f>G152*AO152</f>
      </c>
      <c r="BI152" s="62">
        <f>G152*AP152</f>
      </c>
      <c r="BJ152" s="62">
        <f>G152*H152</f>
      </c>
      <c r="BK152" s="65" t="s">
        <v>67</v>
      </c>
      <c r="BL152" s="62" t="n">
        <v>784</v>
      </c>
      <c r="BW152" s="62" t="n">
        <v>21</v>
      </c>
      <c r="BX152" s="16" t="s">
        <v>339</v>
      </c>
    </row>
    <row r="153" customHeight="true" ht="13.5">
      <c r="A153" s="66"/>
      <c r="C153" s="67" t="s">
        <v>68</v>
      </c>
      <c r="D153" s="68" t="s">
        <v>340</v>
      </c>
      <c r="E153" s="69"/>
      <c r="F153" s="69"/>
      <c r="G153" s="69"/>
      <c r="H153" s="70"/>
      <c r="I153" s="69"/>
      <c r="J153" s="69"/>
      <c r="K153" s="69"/>
      <c r="L153" s="69"/>
      <c r="M153" s="69"/>
      <c r="N153" s="69"/>
      <c r="O153" s="71"/>
    </row>
    <row r="154">
      <c r="A154" s="66"/>
      <c r="D154" s="72" t="s">
        <v>341</v>
      </c>
      <c r="E154" s="73" t="s">
        <v>54</v>
      </c>
      <c r="G154" s="74" t="n">
        <v>115</v>
      </c>
      <c r="O154" s="75"/>
    </row>
    <row r="155" customHeight="true" ht="13.5">
      <c r="A155" s="66"/>
      <c r="C155" s="76" t="s">
        <v>71</v>
      </c>
      <c r="D155" s="77" t="s">
        <v>342</v>
      </c>
      <c r="E155" s="78"/>
      <c r="F155" s="78"/>
      <c r="G155" s="78"/>
      <c r="H155" s="79"/>
      <c r="I155" s="78"/>
      <c r="J155" s="78"/>
      <c r="K155" s="78"/>
      <c r="L155" s="78"/>
      <c r="M155" s="78"/>
      <c r="N155" s="78"/>
      <c r="O155" s="80"/>
    </row>
    <row r="156">
      <c r="A156" s="10" t="s">
        <v>343</v>
      </c>
      <c r="B156" s="11" t="s">
        <v>55</v>
      </c>
      <c r="C156" s="11" t="s">
        <v>344</v>
      </c>
      <c r="D156" s="16" t="s">
        <v>345</v>
      </c>
      <c r="E156" s="11"/>
      <c r="F156" s="11" t="s">
        <v>62</v>
      </c>
      <c r="G156" s="62" t="n">
        <v>50</v>
      </c>
      <c r="H156" s="63" t="n">
        <v>0</v>
      </c>
      <c r="I156" s="62">
        <f>ROUND(G156*AO156,2)</f>
      </c>
      <c r="J156" s="62">
        <f>ROUND(G156*AP156,2)</f>
      </c>
      <c r="K156" s="62">
        <f>ROUND(G156*H156,2)</f>
      </c>
      <c r="L156" s="62" t="n">
        <v>0.00015</v>
      </c>
      <c r="M156" s="62" t="n">
        <v>0.00015</v>
      </c>
      <c r="N156" s="62">
        <f>G156*M156</f>
      </c>
      <c r="O156" s="64" t="s">
        <v>63</v>
      </c>
      <c r="Z156" s="62">
        <f>ROUND(IF(AQ156="5",BJ156,0),2)</f>
      </c>
      <c r="AB156" s="62">
        <f>ROUND(IF(AQ156="1",BH156,0),2)</f>
      </c>
      <c r="AC156" s="62">
        <f>ROUND(IF(AQ156="1",BI156,0),2)</f>
      </c>
      <c r="AD156" s="62">
        <f>ROUND(IF(AQ156="7",BH156,0),2)</f>
      </c>
      <c r="AE156" s="62">
        <f>ROUND(IF(AQ156="7",BI156,0),2)</f>
      </c>
      <c r="AF156" s="62">
        <f>ROUND(IF(AQ156="2",BH156,0),2)</f>
      </c>
      <c r="AG156" s="62">
        <f>ROUND(IF(AQ156="2",BI156,0),2)</f>
      </c>
      <c r="AH156" s="62">
        <f>ROUND(IF(AQ156="0",BJ156,0),2)</f>
      </c>
      <c r="AI156" s="35" t="s">
        <v>55</v>
      </c>
      <c r="AJ156" s="62">
        <f>IF(AN156=0,K156,0)</f>
      </c>
      <c r="AK156" s="62">
        <f>IF(AN156=12,K156,0)</f>
      </c>
      <c r="AL156" s="62">
        <f>IF(AN156=21,K156,0)</f>
      </c>
      <c r="AN156" s="62" t="n">
        <v>21</v>
      </c>
      <c r="AO156" s="62">
        <f>H156*0.264715343</f>
      </c>
      <c r="AP156" s="62">
        <f>H156*(1-0.264715343)</f>
      </c>
      <c r="AQ156" s="65" t="s">
        <v>100</v>
      </c>
      <c r="AV156" s="62">
        <f>ROUND(AW156+AX156,2)</f>
      </c>
      <c r="AW156" s="62">
        <f>ROUND(G156*AO156,2)</f>
      </c>
      <c r="AX156" s="62">
        <f>ROUND(G156*AP156,2)</f>
      </c>
      <c r="AY156" s="65" t="s">
        <v>335</v>
      </c>
      <c r="AZ156" s="65" t="s">
        <v>319</v>
      </c>
      <c r="BA156" s="35" t="s">
        <v>66</v>
      </c>
      <c r="BC156" s="62">
        <f>AW156+AX156</f>
      </c>
      <c r="BD156" s="62">
        <f>H156/(100-BE156)*100</f>
      </c>
      <c r="BE156" s="62" t="n">
        <v>0</v>
      </c>
      <c r="BF156" s="62">
        <f>N156</f>
      </c>
      <c r="BH156" s="62">
        <f>G156*AO156</f>
      </c>
      <c r="BI156" s="62">
        <f>G156*AP156</f>
      </c>
      <c r="BJ156" s="62">
        <f>G156*H156</f>
      </c>
      <c r="BK156" s="65" t="s">
        <v>67</v>
      </c>
      <c r="BL156" s="62" t="n">
        <v>784</v>
      </c>
      <c r="BW156" s="62" t="n">
        <v>21</v>
      </c>
      <c r="BX156" s="16" t="s">
        <v>345</v>
      </c>
    </row>
    <row r="157" customHeight="true" ht="13.5">
      <c r="A157" s="66"/>
      <c r="C157" s="76" t="s">
        <v>71</v>
      </c>
      <c r="D157" s="77" t="s">
        <v>346</v>
      </c>
      <c r="E157" s="78"/>
      <c r="F157" s="78"/>
      <c r="G157" s="78"/>
      <c r="H157" s="79"/>
      <c r="I157" s="78"/>
      <c r="J157" s="78"/>
      <c r="K157" s="78"/>
      <c r="L157" s="78"/>
      <c r="M157" s="78"/>
      <c r="N157" s="78"/>
      <c r="O157" s="80"/>
    </row>
    <row r="158">
      <c r="A158" s="10" t="s">
        <v>140</v>
      </c>
      <c r="B158" s="11" t="s">
        <v>55</v>
      </c>
      <c r="C158" s="11" t="s">
        <v>347</v>
      </c>
      <c r="D158" s="16" t="s">
        <v>348</v>
      </c>
      <c r="E158" s="11"/>
      <c r="F158" s="11" t="s">
        <v>62</v>
      </c>
      <c r="G158" s="62" t="n">
        <v>50</v>
      </c>
      <c r="H158" s="63" t="n">
        <v>0</v>
      </c>
      <c r="I158" s="62">
        <f>ROUND(G158*AO158,2)</f>
      </c>
      <c r="J158" s="62">
        <f>ROUND(G158*AP158,2)</f>
      </c>
      <c r="K158" s="62">
        <f>ROUND(G158*H158,2)</f>
      </c>
      <c r="L158" s="62" t="n">
        <v>0.00046</v>
      </c>
      <c r="M158" s="62" t="n">
        <v>0.00046</v>
      </c>
      <c r="N158" s="62">
        <f>G158*M158</f>
      </c>
      <c r="O158" s="64" t="s">
        <v>63</v>
      </c>
      <c r="Z158" s="62">
        <f>ROUND(IF(AQ158="5",BJ158,0),2)</f>
      </c>
      <c r="AB158" s="62">
        <f>ROUND(IF(AQ158="1",BH158,0),2)</f>
      </c>
      <c r="AC158" s="62">
        <f>ROUND(IF(AQ158="1",BI158,0),2)</f>
      </c>
      <c r="AD158" s="62">
        <f>ROUND(IF(AQ158="7",BH158,0),2)</f>
      </c>
      <c r="AE158" s="62">
        <f>ROUND(IF(AQ158="7",BI158,0),2)</f>
      </c>
      <c r="AF158" s="62">
        <f>ROUND(IF(AQ158="2",BH158,0),2)</f>
      </c>
      <c r="AG158" s="62">
        <f>ROUND(IF(AQ158="2",BI158,0),2)</f>
      </c>
      <c r="AH158" s="62">
        <f>ROUND(IF(AQ158="0",BJ158,0),2)</f>
      </c>
      <c r="AI158" s="35" t="s">
        <v>55</v>
      </c>
      <c r="AJ158" s="62">
        <f>IF(AN158=0,K158,0)</f>
      </c>
      <c r="AK158" s="62">
        <f>IF(AN158=12,K158,0)</f>
      </c>
      <c r="AL158" s="62">
        <f>IF(AN158=21,K158,0)</f>
      </c>
      <c r="AN158" s="62" t="n">
        <v>21</v>
      </c>
      <c r="AO158" s="62">
        <f>H158*0.207286015</f>
      </c>
      <c r="AP158" s="62">
        <f>H158*(1-0.207286015)</f>
      </c>
      <c r="AQ158" s="65" t="s">
        <v>100</v>
      </c>
      <c r="AV158" s="62">
        <f>ROUND(AW158+AX158,2)</f>
      </c>
      <c r="AW158" s="62">
        <f>ROUND(G158*AO158,2)</f>
      </c>
      <c r="AX158" s="62">
        <f>ROUND(G158*AP158,2)</f>
      </c>
      <c r="AY158" s="65" t="s">
        <v>335</v>
      </c>
      <c r="AZ158" s="65" t="s">
        <v>319</v>
      </c>
      <c r="BA158" s="35" t="s">
        <v>66</v>
      </c>
      <c r="BC158" s="62">
        <f>AW158+AX158</f>
      </c>
      <c r="BD158" s="62">
        <f>H158/(100-BE158)*100</f>
      </c>
      <c r="BE158" s="62" t="n">
        <v>0</v>
      </c>
      <c r="BF158" s="62">
        <f>N158</f>
      </c>
      <c r="BH158" s="62">
        <f>G158*AO158</f>
      </c>
      <c r="BI158" s="62">
        <f>G158*AP158</f>
      </c>
      <c r="BJ158" s="62">
        <f>G158*H158</f>
      </c>
      <c r="BK158" s="65" t="s">
        <v>67</v>
      </c>
      <c r="BL158" s="62" t="n">
        <v>784</v>
      </c>
      <c r="BW158" s="62" t="n">
        <v>21</v>
      </c>
      <c r="BX158" s="16" t="s">
        <v>348</v>
      </c>
    </row>
    <row r="159" customHeight="true" ht="13.5">
      <c r="A159" s="66"/>
      <c r="C159" s="76" t="s">
        <v>71</v>
      </c>
      <c r="D159" s="77" t="s">
        <v>346</v>
      </c>
      <c r="E159" s="78"/>
      <c r="F159" s="78"/>
      <c r="G159" s="78"/>
      <c r="H159" s="79"/>
      <c r="I159" s="78"/>
      <c r="J159" s="78"/>
      <c r="K159" s="78"/>
      <c r="L159" s="78"/>
      <c r="M159" s="78"/>
      <c r="N159" s="78"/>
      <c r="O159" s="80"/>
    </row>
    <row r="160">
      <c r="A160" s="56" t="s">
        <v>54</v>
      </c>
      <c r="B160" s="57" t="s">
        <v>55</v>
      </c>
      <c r="C160" s="57" t="s">
        <v>349</v>
      </c>
      <c r="D160" s="58" t="s">
        <v>350</v>
      </c>
      <c r="E160" s="57"/>
      <c r="F160" s="59" t="s">
        <v>4</v>
      </c>
      <c r="G160" s="59" t="s">
        <v>4</v>
      </c>
      <c r="H160" s="60" t="s">
        <v>4</v>
      </c>
      <c r="I160" s="2">
        <f>SUM(I161:I161)</f>
      </c>
      <c r="J160" s="2">
        <f>SUM(J161:J161)</f>
      </c>
      <c r="K160" s="2">
        <f>SUM(K161:K161)</f>
      </c>
      <c r="L160" s="35" t="s">
        <v>54</v>
      </c>
      <c r="M160" s="35" t="s">
        <v>54</v>
      </c>
      <c r="N160" s="2">
        <f>SUM(N161:N161)</f>
      </c>
      <c r="O160" s="61" t="s">
        <v>54</v>
      </c>
      <c r="AI160" s="35" t="s">
        <v>55</v>
      </c>
      <c r="AS160" s="2">
        <f>SUM(AJ161:AJ161)</f>
      </c>
      <c r="AT160" s="2">
        <f>SUM(AK161:AK161)</f>
      </c>
      <c r="AU160" s="2">
        <f>SUM(AL161:AL161)</f>
      </c>
    </row>
    <row r="161">
      <c r="A161" s="10" t="s">
        <v>351</v>
      </c>
      <c r="B161" s="11" t="s">
        <v>55</v>
      </c>
      <c r="C161" s="11" t="s">
        <v>352</v>
      </c>
      <c r="D161" s="16" t="s">
        <v>353</v>
      </c>
      <c r="E161" s="11"/>
      <c r="F161" s="11" t="s">
        <v>114</v>
      </c>
      <c r="G161" s="62" t="n">
        <v>4</v>
      </c>
      <c r="H161" s="63" t="n">
        <v>0</v>
      </c>
      <c r="I161" s="62">
        <f>ROUND(G161*AO161,2)</f>
      </c>
      <c r="J161" s="62">
        <f>ROUND(G161*AP161,2)</f>
      </c>
      <c r="K161" s="62">
        <f>ROUND(G161*H161,2)</f>
      </c>
      <c r="L161" s="62" t="n">
        <v>0.46866</v>
      </c>
      <c r="M161" s="62" t="n">
        <v>0.46866</v>
      </c>
      <c r="N161" s="62">
        <f>G161*M161</f>
      </c>
      <c r="O161" s="64" t="s">
        <v>63</v>
      </c>
      <c r="Z161" s="62">
        <f>ROUND(IF(AQ161="5",BJ161,0),2)</f>
      </c>
      <c r="AB161" s="62">
        <f>ROUND(IF(AQ161="1",BH161,0),2)</f>
      </c>
      <c r="AC161" s="62">
        <f>ROUND(IF(AQ161="1",BI161,0),2)</f>
      </c>
      <c r="AD161" s="62">
        <f>ROUND(IF(AQ161="7",BH161,0),2)</f>
      </c>
      <c r="AE161" s="62">
        <f>ROUND(IF(AQ161="7",BI161,0),2)</f>
      </c>
      <c r="AF161" s="62">
        <f>ROUND(IF(AQ161="2",BH161,0),2)</f>
      </c>
      <c r="AG161" s="62">
        <f>ROUND(IF(AQ161="2",BI161,0),2)</f>
      </c>
      <c r="AH161" s="62">
        <f>ROUND(IF(AQ161="0",BJ161,0),2)</f>
      </c>
      <c r="AI161" s="35" t="s">
        <v>55</v>
      </c>
      <c r="AJ161" s="62">
        <f>IF(AN161=0,K161,0)</f>
      </c>
      <c r="AK161" s="62">
        <f>IF(AN161=12,K161,0)</f>
      </c>
      <c r="AL161" s="62">
        <f>IF(AN161=21,K161,0)</f>
      </c>
      <c r="AN161" s="62" t="n">
        <v>21</v>
      </c>
      <c r="AO161" s="62">
        <f>H161*0.22228683</f>
      </c>
      <c r="AP161" s="62">
        <f>H161*(1-0.22228683)</f>
      </c>
      <c r="AQ161" s="65" t="s">
        <v>59</v>
      </c>
      <c r="AV161" s="62">
        <f>ROUND(AW161+AX161,2)</f>
      </c>
      <c r="AW161" s="62">
        <f>ROUND(G161*AO161,2)</f>
      </c>
      <c r="AX161" s="62">
        <f>ROUND(G161*AP161,2)</f>
      </c>
      <c r="AY161" s="65" t="s">
        <v>354</v>
      </c>
      <c r="AZ161" s="65" t="s">
        <v>355</v>
      </c>
      <c r="BA161" s="35" t="s">
        <v>66</v>
      </c>
      <c r="BC161" s="62">
        <f>AW161+AX161</f>
      </c>
      <c r="BD161" s="62">
        <f>H161/(100-BE161)*100</f>
      </c>
      <c r="BE161" s="62" t="n">
        <v>0</v>
      </c>
      <c r="BF161" s="62">
        <f>N161</f>
      </c>
      <c r="BH161" s="62">
        <f>G161*AO161</f>
      </c>
      <c r="BI161" s="62">
        <f>G161*AP161</f>
      </c>
      <c r="BJ161" s="62">
        <f>G161*H161</f>
      </c>
      <c r="BK161" s="65" t="s">
        <v>67</v>
      </c>
      <c r="BL161" s="62" t="n">
        <v>83</v>
      </c>
      <c r="BW161" s="62" t="n">
        <v>21</v>
      </c>
      <c r="BX161" s="16" t="s">
        <v>353</v>
      </c>
    </row>
    <row r="162" customHeight="true" ht="13.5">
      <c r="A162" s="66"/>
      <c r="C162" s="67" t="s">
        <v>68</v>
      </c>
      <c r="D162" s="68" t="s">
        <v>356</v>
      </c>
      <c r="E162" s="69"/>
      <c r="F162" s="69"/>
      <c r="G162" s="69"/>
      <c r="H162" s="70"/>
      <c r="I162" s="69"/>
      <c r="J162" s="69"/>
      <c r="K162" s="69"/>
      <c r="L162" s="69"/>
      <c r="M162" s="69"/>
      <c r="N162" s="69"/>
      <c r="O162" s="71"/>
    </row>
    <row r="163">
      <c r="A163" s="66"/>
      <c r="D163" s="72" t="s">
        <v>357</v>
      </c>
      <c r="E163" s="73" t="s">
        <v>54</v>
      </c>
      <c r="G163" s="74" t="n">
        <v>4</v>
      </c>
      <c r="O163" s="75"/>
    </row>
    <row r="164" customHeight="true" ht="13.5">
      <c r="A164" s="66"/>
      <c r="C164" s="76" t="s">
        <v>71</v>
      </c>
      <c r="D164" s="77" t="s">
        <v>358</v>
      </c>
      <c r="E164" s="78"/>
      <c r="F164" s="78"/>
      <c r="G164" s="78"/>
      <c r="H164" s="79"/>
      <c r="I164" s="78"/>
      <c r="J164" s="78"/>
      <c r="K164" s="78"/>
      <c r="L164" s="78"/>
      <c r="M164" s="78"/>
      <c r="N164" s="78"/>
      <c r="O164" s="80"/>
    </row>
    <row r="165">
      <c r="A165" s="56" t="s">
        <v>54</v>
      </c>
      <c r="B165" s="57" t="s">
        <v>55</v>
      </c>
      <c r="C165" s="57" t="s">
        <v>359</v>
      </c>
      <c r="D165" s="58" t="s">
        <v>360</v>
      </c>
      <c r="E165" s="57"/>
      <c r="F165" s="59" t="s">
        <v>4</v>
      </c>
      <c r="G165" s="59" t="s">
        <v>4</v>
      </c>
      <c r="H165" s="60" t="s">
        <v>4</v>
      </c>
      <c r="I165" s="2">
        <f>SUM(I166:I166)</f>
      </c>
      <c r="J165" s="2">
        <f>SUM(J166:J166)</f>
      </c>
      <c r="K165" s="2">
        <f>SUM(K166:K166)</f>
      </c>
      <c r="L165" s="35" t="s">
        <v>54</v>
      </c>
      <c r="M165" s="35" t="s">
        <v>54</v>
      </c>
      <c r="N165" s="2">
        <f>SUM(N166:N166)</f>
      </c>
      <c r="O165" s="61" t="s">
        <v>54</v>
      </c>
      <c r="AI165" s="35" t="s">
        <v>55</v>
      </c>
      <c r="AS165" s="2">
        <f>SUM(AJ166:AJ166)</f>
      </c>
      <c r="AT165" s="2">
        <f>SUM(AK166:AK166)</f>
      </c>
      <c r="AU165" s="2">
        <f>SUM(AL166:AL166)</f>
      </c>
    </row>
    <row r="166">
      <c r="A166" s="10" t="s">
        <v>361</v>
      </c>
      <c r="B166" s="11" t="s">
        <v>55</v>
      </c>
      <c r="C166" s="11" t="s">
        <v>362</v>
      </c>
      <c r="D166" s="16" t="s">
        <v>363</v>
      </c>
      <c r="E166" s="11"/>
      <c r="F166" s="11" t="s">
        <v>114</v>
      </c>
      <c r="G166" s="62" t="n">
        <v>3</v>
      </c>
      <c r="H166" s="63" t="n">
        <v>0</v>
      </c>
      <c r="I166" s="62">
        <f>ROUND(G166*AO166,2)</f>
      </c>
      <c r="J166" s="62">
        <f>ROUND(G166*AP166,2)</f>
      </c>
      <c r="K166" s="62">
        <f>ROUND(G166*H166,2)</f>
      </c>
      <c r="L166" s="62" t="n">
        <v>0.123</v>
      </c>
      <c r="M166" s="62" t="n">
        <v>0.123</v>
      </c>
      <c r="N166" s="62">
        <f>G166*M166</f>
      </c>
      <c r="O166" s="64" t="s">
        <v>54</v>
      </c>
      <c r="Z166" s="62">
        <f>ROUND(IF(AQ166="5",BJ166,0),2)</f>
      </c>
      <c r="AB166" s="62">
        <f>ROUND(IF(AQ166="1",BH166,0),2)</f>
      </c>
      <c r="AC166" s="62">
        <f>ROUND(IF(AQ166="1",BI166,0),2)</f>
      </c>
      <c r="AD166" s="62">
        <f>ROUND(IF(AQ166="7",BH166,0),2)</f>
      </c>
      <c r="AE166" s="62">
        <f>ROUND(IF(AQ166="7",BI166,0),2)</f>
      </c>
      <c r="AF166" s="62">
        <f>ROUND(IF(AQ166="2",BH166,0),2)</f>
      </c>
      <c r="AG166" s="62">
        <f>ROUND(IF(AQ166="2",BI166,0),2)</f>
      </c>
      <c r="AH166" s="62">
        <f>ROUND(IF(AQ166="0",BJ166,0),2)</f>
      </c>
      <c r="AI166" s="35" t="s">
        <v>55</v>
      </c>
      <c r="AJ166" s="62">
        <f>IF(AN166=0,K166,0)</f>
      </c>
      <c r="AK166" s="62">
        <f>IF(AN166=12,K166,0)</f>
      </c>
      <c r="AL166" s="62">
        <f>IF(AN166=21,K166,0)</f>
      </c>
      <c r="AN166" s="62" t="n">
        <v>21</v>
      </c>
      <c r="AO166" s="62">
        <f>H166*0</f>
      </c>
      <c r="AP166" s="62">
        <f>H166*(1-0)</f>
      </c>
      <c r="AQ166" s="65" t="s">
        <v>59</v>
      </c>
      <c r="AV166" s="62">
        <f>ROUND(AW166+AX166,2)</f>
      </c>
      <c r="AW166" s="62">
        <f>ROUND(G166*AO166,2)</f>
      </c>
      <c r="AX166" s="62">
        <f>ROUND(G166*AP166,2)</f>
      </c>
      <c r="AY166" s="65" t="s">
        <v>364</v>
      </c>
      <c r="AZ166" s="65" t="s">
        <v>355</v>
      </c>
      <c r="BA166" s="35" t="s">
        <v>66</v>
      </c>
      <c r="BC166" s="62">
        <f>AW166+AX166</f>
      </c>
      <c r="BD166" s="62">
        <f>H166/(100-BE166)*100</f>
      </c>
      <c r="BE166" s="62" t="n">
        <v>0</v>
      </c>
      <c r="BF166" s="62">
        <f>N166</f>
      </c>
      <c r="BH166" s="62">
        <f>G166*AO166</f>
      </c>
      <c r="BI166" s="62">
        <f>G166*AP166</f>
      </c>
      <c r="BJ166" s="62">
        <f>G166*H166</f>
      </c>
      <c r="BK166" s="65" t="s">
        <v>67</v>
      </c>
      <c r="BL166" s="62"/>
      <c r="BW166" s="62" t="n">
        <v>21</v>
      </c>
      <c r="BX166" s="16" t="s">
        <v>363</v>
      </c>
    </row>
    <row r="167">
      <c r="A167" s="56" t="s">
        <v>54</v>
      </c>
      <c r="B167" s="57" t="s">
        <v>55</v>
      </c>
      <c r="C167" s="57" t="s">
        <v>365</v>
      </c>
      <c r="D167" s="58" t="s">
        <v>366</v>
      </c>
      <c r="E167" s="57"/>
      <c r="F167" s="59" t="s">
        <v>4</v>
      </c>
      <c r="G167" s="59" t="s">
        <v>4</v>
      </c>
      <c r="H167" s="60" t="s">
        <v>4</v>
      </c>
      <c r="I167" s="2">
        <f>SUM(I168:I169)</f>
      </c>
      <c r="J167" s="2">
        <f>SUM(J168:J169)</f>
      </c>
      <c r="K167" s="2">
        <f>SUM(K168:K169)</f>
      </c>
      <c r="L167" s="35" t="s">
        <v>54</v>
      </c>
      <c r="M167" s="35" t="s">
        <v>54</v>
      </c>
      <c r="N167" s="2">
        <f>SUM(N168:N169)</f>
      </c>
      <c r="O167" s="61" t="s">
        <v>54</v>
      </c>
      <c r="AI167" s="35" t="s">
        <v>55</v>
      </c>
      <c r="AS167" s="2">
        <f>SUM(AJ168:AJ169)</f>
      </c>
      <c r="AT167" s="2">
        <f>SUM(AK168:AK169)</f>
      </c>
      <c r="AU167" s="2">
        <f>SUM(AL168:AL169)</f>
      </c>
    </row>
    <row r="168">
      <c r="A168" s="10" t="s">
        <v>149</v>
      </c>
      <c r="B168" s="11" t="s">
        <v>55</v>
      </c>
      <c r="C168" s="11" t="s">
        <v>367</v>
      </c>
      <c r="D168" s="16" t="s">
        <v>368</v>
      </c>
      <c r="E168" s="11"/>
      <c r="F168" s="11" t="s">
        <v>103</v>
      </c>
      <c r="G168" s="62" t="n">
        <v>2</v>
      </c>
      <c r="H168" s="63" t="n">
        <v>0</v>
      </c>
      <c r="I168" s="62">
        <f>ROUND(G168*AO168,2)</f>
      </c>
      <c r="J168" s="62">
        <f>ROUND(G168*AP168,2)</f>
      </c>
      <c r="K168" s="62">
        <f>ROUND(G168*H168,2)</f>
      </c>
      <c r="L168" s="62" t="n">
        <v>0.00041</v>
      </c>
      <c r="M168" s="62" t="n">
        <v>0.00041</v>
      </c>
      <c r="N168" s="62">
        <f>G168*M168</f>
      </c>
      <c r="O168" s="64" t="s">
        <v>63</v>
      </c>
      <c r="Z168" s="62">
        <f>ROUND(IF(AQ168="5",BJ168,0),2)</f>
      </c>
      <c r="AB168" s="62">
        <f>ROUND(IF(AQ168="1",BH168,0),2)</f>
      </c>
      <c r="AC168" s="62">
        <f>ROUND(IF(AQ168="1",BI168,0),2)</f>
      </c>
      <c r="AD168" s="62">
        <f>ROUND(IF(AQ168="7",BH168,0),2)</f>
      </c>
      <c r="AE168" s="62">
        <f>ROUND(IF(AQ168="7",BI168,0),2)</f>
      </c>
      <c r="AF168" s="62">
        <f>ROUND(IF(AQ168="2",BH168,0),2)</f>
      </c>
      <c r="AG168" s="62">
        <f>ROUND(IF(AQ168="2",BI168,0),2)</f>
      </c>
      <c r="AH168" s="62">
        <f>ROUND(IF(AQ168="0",BJ168,0),2)</f>
      </c>
      <c r="AI168" s="35" t="s">
        <v>55</v>
      </c>
      <c r="AJ168" s="62">
        <f>IF(AN168=0,K168,0)</f>
      </c>
      <c r="AK168" s="62">
        <f>IF(AN168=12,K168,0)</f>
      </c>
      <c r="AL168" s="62">
        <f>IF(AN168=21,K168,0)</f>
      </c>
      <c r="AN168" s="62" t="n">
        <v>21</v>
      </c>
      <c r="AO168" s="62">
        <f>H168*0.176489253</f>
      </c>
      <c r="AP168" s="62">
        <f>H168*(1-0.176489253)</f>
      </c>
      <c r="AQ168" s="65" t="s">
        <v>59</v>
      </c>
      <c r="AV168" s="62">
        <f>ROUND(AW168+AX168,2)</f>
      </c>
      <c r="AW168" s="62">
        <f>ROUND(G168*AO168,2)</f>
      </c>
      <c r="AX168" s="62">
        <f>ROUND(G168*AP168,2)</f>
      </c>
      <c r="AY168" s="65" t="s">
        <v>369</v>
      </c>
      <c r="AZ168" s="65" t="s">
        <v>355</v>
      </c>
      <c r="BA168" s="35" t="s">
        <v>66</v>
      </c>
      <c r="BC168" s="62">
        <f>AW168+AX168</f>
      </c>
      <c r="BD168" s="62">
        <f>H168/(100-BE168)*100</f>
      </c>
      <c r="BE168" s="62" t="n">
        <v>0</v>
      </c>
      <c r="BF168" s="62">
        <f>N168</f>
      </c>
      <c r="BH168" s="62">
        <f>G168*AO168</f>
      </c>
      <c r="BI168" s="62">
        <f>G168*AP168</f>
      </c>
      <c r="BJ168" s="62">
        <f>G168*H168</f>
      </c>
      <c r="BK168" s="65" t="s">
        <v>67</v>
      </c>
      <c r="BL168" s="62" t="n">
        <v>85</v>
      </c>
      <c r="BW168" s="62" t="n">
        <v>21</v>
      </c>
      <c r="BX168" s="16" t="s">
        <v>368</v>
      </c>
    </row>
    <row r="169">
      <c r="A169" s="10" t="s">
        <v>370</v>
      </c>
      <c r="B169" s="11" t="s">
        <v>55</v>
      </c>
      <c r="C169" s="11" t="s">
        <v>371</v>
      </c>
      <c r="D169" s="16" t="s">
        <v>372</v>
      </c>
      <c r="E169" s="11"/>
      <c r="F169" s="11" t="s">
        <v>103</v>
      </c>
      <c r="G169" s="62" t="n">
        <v>2</v>
      </c>
      <c r="H169" s="63" t="n">
        <v>0</v>
      </c>
      <c r="I169" s="62">
        <f>ROUND(G169*AO169,2)</f>
      </c>
      <c r="J169" s="62">
        <f>ROUND(G169*AP169,2)</f>
      </c>
      <c r="K169" s="62">
        <f>ROUND(G169*H169,2)</f>
      </c>
      <c r="L169" s="62" t="n">
        <v>0</v>
      </c>
      <c r="M169" s="62" t="n">
        <v>0</v>
      </c>
      <c r="N169" s="62">
        <f>G169*M169</f>
      </c>
      <c r="O169" s="64" t="s">
        <v>63</v>
      </c>
      <c r="Z169" s="62">
        <f>ROUND(IF(AQ169="5",BJ169,0),2)</f>
      </c>
      <c r="AB169" s="62">
        <f>ROUND(IF(AQ169="1",BH169,0),2)</f>
      </c>
      <c r="AC169" s="62">
        <f>ROUND(IF(AQ169="1",BI169,0),2)</f>
      </c>
      <c r="AD169" s="62">
        <f>ROUND(IF(AQ169="7",BH169,0),2)</f>
      </c>
      <c r="AE169" s="62">
        <f>ROUND(IF(AQ169="7",BI169,0),2)</f>
      </c>
      <c r="AF169" s="62">
        <f>ROUND(IF(AQ169="2",BH169,0),2)</f>
      </c>
      <c r="AG169" s="62">
        <f>ROUND(IF(AQ169="2",BI169,0),2)</f>
      </c>
      <c r="AH169" s="62">
        <f>ROUND(IF(AQ169="0",BJ169,0),2)</f>
      </c>
      <c r="AI169" s="35" t="s">
        <v>55</v>
      </c>
      <c r="AJ169" s="62">
        <f>IF(AN169=0,K169,0)</f>
      </c>
      <c r="AK169" s="62">
        <f>IF(AN169=12,K169,0)</f>
      </c>
      <c r="AL169" s="62">
        <f>IF(AN169=21,K169,0)</f>
      </c>
      <c r="AN169" s="62" t="n">
        <v>21</v>
      </c>
      <c r="AO169" s="62">
        <f>H169*0.000018018</f>
      </c>
      <c r="AP169" s="62">
        <f>H169*(1-0.000018018)</f>
      </c>
      <c r="AQ169" s="65" t="s">
        <v>59</v>
      </c>
      <c r="AV169" s="62">
        <f>ROUND(AW169+AX169,2)</f>
      </c>
      <c r="AW169" s="62">
        <f>ROUND(G169*AO169,2)</f>
      </c>
      <c r="AX169" s="62">
        <f>ROUND(G169*AP169,2)</f>
      </c>
      <c r="AY169" s="65" t="s">
        <v>369</v>
      </c>
      <c r="AZ169" s="65" t="s">
        <v>355</v>
      </c>
      <c r="BA169" s="35" t="s">
        <v>66</v>
      </c>
      <c r="BC169" s="62">
        <f>AW169+AX169</f>
      </c>
      <c r="BD169" s="62">
        <f>H169/(100-BE169)*100</f>
      </c>
      <c r="BE169" s="62" t="n">
        <v>0</v>
      </c>
      <c r="BF169" s="62">
        <f>N169</f>
      </c>
      <c r="BH169" s="62">
        <f>G169*AO169</f>
      </c>
      <c r="BI169" s="62">
        <f>G169*AP169</f>
      </c>
      <c r="BJ169" s="62">
        <f>G169*H169</f>
      </c>
      <c r="BK169" s="65" t="s">
        <v>67</v>
      </c>
      <c r="BL169" s="62" t="n">
        <v>85</v>
      </c>
      <c r="BW169" s="62" t="n">
        <v>21</v>
      </c>
      <c r="BX169" s="16" t="s">
        <v>372</v>
      </c>
    </row>
    <row r="170" customHeight="true" ht="13.5">
      <c r="A170" s="66"/>
      <c r="C170" s="67" t="s">
        <v>68</v>
      </c>
      <c r="D170" s="68" t="s">
        <v>373</v>
      </c>
      <c r="E170" s="69"/>
      <c r="F170" s="69"/>
      <c r="G170" s="69"/>
      <c r="H170" s="70"/>
      <c r="I170" s="69"/>
      <c r="J170" s="69"/>
      <c r="K170" s="69"/>
      <c r="L170" s="69"/>
      <c r="M170" s="69"/>
      <c r="N170" s="69"/>
      <c r="O170" s="71"/>
    </row>
    <row r="171">
      <c r="A171" s="56" t="s">
        <v>54</v>
      </c>
      <c r="B171" s="57" t="s">
        <v>55</v>
      </c>
      <c r="C171" s="57" t="s">
        <v>374</v>
      </c>
      <c r="D171" s="58" t="s">
        <v>375</v>
      </c>
      <c r="E171" s="57"/>
      <c r="F171" s="59" t="s">
        <v>4</v>
      </c>
      <c r="G171" s="59" t="s">
        <v>4</v>
      </c>
      <c r="H171" s="60" t="s">
        <v>4</v>
      </c>
      <c r="I171" s="2">
        <f>SUM(I172:I174)</f>
      </c>
      <c r="J171" s="2">
        <f>SUM(J172:J174)</f>
      </c>
      <c r="K171" s="2">
        <f>SUM(K172:K174)</f>
      </c>
      <c r="L171" s="35" t="s">
        <v>54</v>
      </c>
      <c r="M171" s="35" t="s">
        <v>54</v>
      </c>
      <c r="N171" s="2">
        <f>SUM(N172:N174)</f>
      </c>
      <c r="O171" s="61" t="s">
        <v>54</v>
      </c>
      <c r="AI171" s="35" t="s">
        <v>55</v>
      </c>
      <c r="AS171" s="2">
        <f>SUM(AJ172:AJ174)</f>
      </c>
      <c r="AT171" s="2">
        <f>SUM(AK172:AK174)</f>
      </c>
      <c r="AU171" s="2">
        <f>SUM(AL172:AL174)</f>
      </c>
    </row>
    <row r="172">
      <c r="A172" s="10" t="s">
        <v>156</v>
      </c>
      <c r="B172" s="11" t="s">
        <v>55</v>
      </c>
      <c r="C172" s="11" t="s">
        <v>376</v>
      </c>
      <c r="D172" s="16" t="s">
        <v>377</v>
      </c>
      <c r="E172" s="11"/>
      <c r="F172" s="11" t="s">
        <v>378</v>
      </c>
      <c r="G172" s="62" t="n">
        <v>15</v>
      </c>
      <c r="H172" s="63" t="n">
        <v>0</v>
      </c>
      <c r="I172" s="62">
        <f>ROUND(G172*AO172,2)</f>
      </c>
      <c r="J172" s="62">
        <f>ROUND(G172*AP172,2)</f>
      </c>
      <c r="K172" s="62">
        <f>ROUND(G172*H172,2)</f>
      </c>
      <c r="L172" s="62" t="n">
        <v>0</v>
      </c>
      <c r="M172" s="62" t="n">
        <v>0</v>
      </c>
      <c r="N172" s="62">
        <f>G172*M172</f>
      </c>
      <c r="O172" s="64" t="s">
        <v>63</v>
      </c>
      <c r="Z172" s="62">
        <f>ROUND(IF(AQ172="5",BJ172,0),2)</f>
      </c>
      <c r="AB172" s="62">
        <f>ROUND(IF(AQ172="1",BH172,0),2)</f>
      </c>
      <c r="AC172" s="62">
        <f>ROUND(IF(AQ172="1",BI172,0),2)</f>
      </c>
      <c r="AD172" s="62">
        <f>ROUND(IF(AQ172="7",BH172,0),2)</f>
      </c>
      <c r="AE172" s="62">
        <f>ROUND(IF(AQ172="7",BI172,0),2)</f>
      </c>
      <c r="AF172" s="62">
        <f>ROUND(IF(AQ172="2",BH172,0),2)</f>
      </c>
      <c r="AG172" s="62">
        <f>ROUND(IF(AQ172="2",BI172,0),2)</f>
      </c>
      <c r="AH172" s="62">
        <f>ROUND(IF(AQ172="0",BJ172,0),2)</f>
      </c>
      <c r="AI172" s="35" t="s">
        <v>55</v>
      </c>
      <c r="AJ172" s="62">
        <f>IF(AN172=0,K172,0)</f>
      </c>
      <c r="AK172" s="62">
        <f>IF(AN172=12,K172,0)</f>
      </c>
      <c r="AL172" s="62">
        <f>IF(AN172=21,K172,0)</f>
      </c>
      <c r="AN172" s="62" t="n">
        <v>21</v>
      </c>
      <c r="AO172" s="62">
        <f>H172*0</f>
      </c>
      <c r="AP172" s="62">
        <f>H172*(1-0)</f>
      </c>
      <c r="AQ172" s="65" t="s">
        <v>59</v>
      </c>
      <c r="AV172" s="62">
        <f>ROUND(AW172+AX172,2)</f>
      </c>
      <c r="AW172" s="62">
        <f>ROUND(G172*AO172,2)</f>
      </c>
      <c r="AX172" s="62">
        <f>ROUND(G172*AP172,2)</f>
      </c>
      <c r="AY172" s="65" t="s">
        <v>379</v>
      </c>
      <c r="AZ172" s="65" t="s">
        <v>380</v>
      </c>
      <c r="BA172" s="35" t="s">
        <v>66</v>
      </c>
      <c r="BC172" s="62">
        <f>AW172+AX172</f>
      </c>
      <c r="BD172" s="62">
        <f>H172/(100-BE172)*100</f>
      </c>
      <c r="BE172" s="62" t="n">
        <v>0</v>
      </c>
      <c r="BF172" s="62">
        <f>N172</f>
      </c>
      <c r="BH172" s="62">
        <f>G172*AO172</f>
      </c>
      <c r="BI172" s="62">
        <f>G172*AP172</f>
      </c>
      <c r="BJ172" s="62">
        <f>G172*H172</f>
      </c>
      <c r="BK172" s="65" t="s">
        <v>67</v>
      </c>
      <c r="BL172" s="62" t="n">
        <v>90</v>
      </c>
      <c r="BW172" s="62" t="n">
        <v>21</v>
      </c>
      <c r="BX172" s="16" t="s">
        <v>377</v>
      </c>
    </row>
    <row r="173" customHeight="true" ht="27">
      <c r="A173" s="66"/>
      <c r="C173" s="76" t="s">
        <v>71</v>
      </c>
      <c r="D173" s="77" t="s">
        <v>381</v>
      </c>
      <c r="E173" s="78"/>
      <c r="F173" s="78"/>
      <c r="G173" s="78"/>
      <c r="H173" s="79"/>
      <c r="I173" s="78"/>
      <c r="J173" s="78"/>
      <c r="K173" s="78"/>
      <c r="L173" s="78"/>
      <c r="M173" s="78"/>
      <c r="N173" s="78"/>
      <c r="O173" s="80"/>
    </row>
    <row r="174">
      <c r="A174" s="10" t="s">
        <v>182</v>
      </c>
      <c r="B174" s="11" t="s">
        <v>55</v>
      </c>
      <c r="C174" s="11" t="s">
        <v>382</v>
      </c>
      <c r="D174" s="16" t="s">
        <v>383</v>
      </c>
      <c r="E174" s="11"/>
      <c r="F174" s="11" t="s">
        <v>378</v>
      </c>
      <c r="G174" s="62" t="n">
        <v>10</v>
      </c>
      <c r="H174" s="63" t="n">
        <v>0</v>
      </c>
      <c r="I174" s="62">
        <f>ROUND(G174*AO174,2)</f>
      </c>
      <c r="J174" s="62">
        <f>ROUND(G174*AP174,2)</f>
      </c>
      <c r="K174" s="62">
        <f>ROUND(G174*H174,2)</f>
      </c>
      <c r="L174" s="62" t="n">
        <v>0</v>
      </c>
      <c r="M174" s="62" t="n">
        <v>0</v>
      </c>
      <c r="N174" s="62">
        <f>G174*M174</f>
      </c>
      <c r="O174" s="64" t="s">
        <v>63</v>
      </c>
      <c r="Z174" s="62">
        <f>ROUND(IF(AQ174="5",BJ174,0),2)</f>
      </c>
      <c r="AB174" s="62">
        <f>ROUND(IF(AQ174="1",BH174,0),2)</f>
      </c>
      <c r="AC174" s="62">
        <f>ROUND(IF(AQ174="1",BI174,0),2)</f>
      </c>
      <c r="AD174" s="62">
        <f>ROUND(IF(AQ174="7",BH174,0),2)</f>
      </c>
      <c r="AE174" s="62">
        <f>ROUND(IF(AQ174="7",BI174,0),2)</f>
      </c>
      <c r="AF174" s="62">
        <f>ROUND(IF(AQ174="2",BH174,0),2)</f>
      </c>
      <c r="AG174" s="62">
        <f>ROUND(IF(AQ174="2",BI174,0),2)</f>
      </c>
      <c r="AH174" s="62">
        <f>ROUND(IF(AQ174="0",BJ174,0),2)</f>
      </c>
      <c r="AI174" s="35" t="s">
        <v>55</v>
      </c>
      <c r="AJ174" s="62">
        <f>IF(AN174=0,K174,0)</f>
      </c>
      <c r="AK174" s="62">
        <f>IF(AN174=12,K174,0)</f>
      </c>
      <c r="AL174" s="62">
        <f>IF(AN174=21,K174,0)</f>
      </c>
      <c r="AN174" s="62" t="n">
        <v>21</v>
      </c>
      <c r="AO174" s="62">
        <f>H174*0</f>
      </c>
      <c r="AP174" s="62">
        <f>H174*(1-0)</f>
      </c>
      <c r="AQ174" s="65" t="s">
        <v>59</v>
      </c>
      <c r="AV174" s="62">
        <f>ROUND(AW174+AX174,2)</f>
      </c>
      <c r="AW174" s="62">
        <f>ROUND(G174*AO174,2)</f>
      </c>
      <c r="AX174" s="62">
        <f>ROUND(G174*AP174,2)</f>
      </c>
      <c r="AY174" s="65" t="s">
        <v>379</v>
      </c>
      <c r="AZ174" s="65" t="s">
        <v>380</v>
      </c>
      <c r="BA174" s="35" t="s">
        <v>66</v>
      </c>
      <c r="BC174" s="62">
        <f>AW174+AX174</f>
      </c>
      <c r="BD174" s="62">
        <f>H174/(100-BE174)*100</f>
      </c>
      <c r="BE174" s="62" t="n">
        <v>0</v>
      </c>
      <c r="BF174" s="62">
        <f>N174</f>
      </c>
      <c r="BH174" s="62">
        <f>G174*AO174</f>
      </c>
      <c r="BI174" s="62">
        <f>G174*AP174</f>
      </c>
      <c r="BJ174" s="62">
        <f>G174*H174</f>
      </c>
      <c r="BK174" s="65" t="s">
        <v>67</v>
      </c>
      <c r="BL174" s="62" t="n">
        <v>90</v>
      </c>
      <c r="BW174" s="62" t="n">
        <v>21</v>
      </c>
      <c r="BX174" s="16" t="s">
        <v>383</v>
      </c>
    </row>
    <row r="175" customHeight="true" ht="13.5">
      <c r="A175" s="66"/>
      <c r="C175" s="67" t="s">
        <v>68</v>
      </c>
      <c r="D175" s="68" t="s">
        <v>384</v>
      </c>
      <c r="E175" s="69"/>
      <c r="F175" s="69"/>
      <c r="G175" s="69"/>
      <c r="H175" s="70"/>
      <c r="I175" s="69"/>
      <c r="J175" s="69"/>
      <c r="K175" s="69"/>
      <c r="L175" s="69"/>
      <c r="M175" s="69"/>
      <c r="N175" s="69"/>
      <c r="O175" s="71"/>
    </row>
    <row r="176" customHeight="true" ht="13.5">
      <c r="A176" s="66"/>
      <c r="C176" s="76" t="s">
        <v>71</v>
      </c>
      <c r="D176" s="77" t="s">
        <v>385</v>
      </c>
      <c r="E176" s="78"/>
      <c r="F176" s="78"/>
      <c r="G176" s="78"/>
      <c r="H176" s="79"/>
      <c r="I176" s="78"/>
      <c r="J176" s="78"/>
      <c r="K176" s="78"/>
      <c r="L176" s="78"/>
      <c r="M176" s="78"/>
      <c r="N176" s="78"/>
      <c r="O176" s="80"/>
    </row>
    <row r="177">
      <c r="A177" s="56" t="s">
        <v>54</v>
      </c>
      <c r="B177" s="57" t="s">
        <v>55</v>
      </c>
      <c r="C177" s="57" t="s">
        <v>386</v>
      </c>
      <c r="D177" s="58" t="s">
        <v>387</v>
      </c>
      <c r="E177" s="57"/>
      <c r="F177" s="59" t="s">
        <v>4</v>
      </c>
      <c r="G177" s="59" t="s">
        <v>4</v>
      </c>
      <c r="H177" s="60" t="s">
        <v>4</v>
      </c>
      <c r="I177" s="2">
        <f>SUM(I178:I187)</f>
      </c>
      <c r="J177" s="2">
        <f>SUM(J178:J187)</f>
      </c>
      <c r="K177" s="2">
        <f>SUM(K178:K187)</f>
      </c>
      <c r="L177" s="35" t="s">
        <v>54</v>
      </c>
      <c r="M177" s="35" t="s">
        <v>54</v>
      </c>
      <c r="N177" s="2">
        <f>SUM(N178:N187)</f>
      </c>
      <c r="O177" s="61" t="s">
        <v>54</v>
      </c>
      <c r="AI177" s="35" t="s">
        <v>55</v>
      </c>
      <c r="AS177" s="2">
        <f>SUM(AJ178:AJ187)</f>
      </c>
      <c r="AT177" s="2">
        <f>SUM(AK178:AK187)</f>
      </c>
      <c r="AU177" s="2">
        <f>SUM(AL178:AL187)</f>
      </c>
    </row>
    <row r="178">
      <c r="A178" s="10" t="s">
        <v>219</v>
      </c>
      <c r="B178" s="11" t="s">
        <v>55</v>
      </c>
      <c r="C178" s="11" t="s">
        <v>388</v>
      </c>
      <c r="D178" s="16" t="s">
        <v>389</v>
      </c>
      <c r="E178" s="11"/>
      <c r="F178" s="11" t="s">
        <v>62</v>
      </c>
      <c r="G178" s="62" t="n">
        <v>161.75</v>
      </c>
      <c r="H178" s="63" t="n">
        <v>0</v>
      </c>
      <c r="I178" s="62">
        <f>ROUND(G178*AO178,2)</f>
      </c>
      <c r="J178" s="62">
        <f>ROUND(G178*AP178,2)</f>
      </c>
      <c r="K178" s="62">
        <f>ROUND(G178*H178,2)</f>
      </c>
      <c r="L178" s="62" t="n">
        <v>0.01838</v>
      </c>
      <c r="M178" s="62" t="n">
        <v>0.01838</v>
      </c>
      <c r="N178" s="62">
        <f>G178*M178</f>
      </c>
      <c r="O178" s="64" t="s">
        <v>63</v>
      </c>
      <c r="Z178" s="62">
        <f>ROUND(IF(AQ178="5",BJ178,0),2)</f>
      </c>
      <c r="AB178" s="62">
        <f>ROUND(IF(AQ178="1",BH178,0),2)</f>
      </c>
      <c r="AC178" s="62">
        <f>ROUND(IF(AQ178="1",BI178,0),2)</f>
      </c>
      <c r="AD178" s="62">
        <f>ROUND(IF(AQ178="7",BH178,0),2)</f>
      </c>
      <c r="AE178" s="62">
        <f>ROUND(IF(AQ178="7",BI178,0),2)</f>
      </c>
      <c r="AF178" s="62">
        <f>ROUND(IF(AQ178="2",BH178,0),2)</f>
      </c>
      <c r="AG178" s="62">
        <f>ROUND(IF(AQ178="2",BI178,0),2)</f>
      </c>
      <c r="AH178" s="62">
        <f>ROUND(IF(AQ178="0",BJ178,0),2)</f>
      </c>
      <c r="AI178" s="35" t="s">
        <v>55</v>
      </c>
      <c r="AJ178" s="62">
        <f>IF(AN178=0,K178,0)</f>
      </c>
      <c r="AK178" s="62">
        <f>IF(AN178=12,K178,0)</f>
      </c>
      <c r="AL178" s="62">
        <f>IF(AN178=21,K178,0)</f>
      </c>
      <c r="AN178" s="62" t="n">
        <v>21</v>
      </c>
      <c r="AO178" s="62">
        <f>H178*0.00009105</f>
      </c>
      <c r="AP178" s="62">
        <f>H178*(1-0.00009105)</f>
      </c>
      <c r="AQ178" s="65" t="s">
        <v>59</v>
      </c>
      <c r="AV178" s="62">
        <f>ROUND(AW178+AX178,2)</f>
      </c>
      <c r="AW178" s="62">
        <f>ROUND(G178*AO178,2)</f>
      </c>
      <c r="AX178" s="62">
        <f>ROUND(G178*AP178,2)</f>
      </c>
      <c r="AY178" s="65" t="s">
        <v>390</v>
      </c>
      <c r="AZ178" s="65" t="s">
        <v>380</v>
      </c>
      <c r="BA178" s="35" t="s">
        <v>66</v>
      </c>
      <c r="BC178" s="62">
        <f>AW178+AX178</f>
      </c>
      <c r="BD178" s="62">
        <f>H178/(100-BE178)*100</f>
      </c>
      <c r="BE178" s="62" t="n">
        <v>0</v>
      </c>
      <c r="BF178" s="62">
        <f>N178</f>
      </c>
      <c r="BH178" s="62">
        <f>G178*AO178</f>
      </c>
      <c r="BI178" s="62">
        <f>G178*AP178</f>
      </c>
      <c r="BJ178" s="62">
        <f>G178*H178</f>
      </c>
      <c r="BK178" s="65" t="s">
        <v>67</v>
      </c>
      <c r="BL178" s="62" t="n">
        <v>94</v>
      </c>
      <c r="BW178" s="62" t="n">
        <v>21</v>
      </c>
      <c r="BX178" s="16" t="s">
        <v>389</v>
      </c>
    </row>
    <row r="179">
      <c r="A179" s="66"/>
      <c r="D179" s="72" t="s">
        <v>391</v>
      </c>
      <c r="E179" s="73" t="s">
        <v>54</v>
      </c>
      <c r="G179" s="74" t="n">
        <v>161.75</v>
      </c>
      <c r="O179" s="75"/>
    </row>
    <row r="180">
      <c r="A180" s="10" t="s">
        <v>392</v>
      </c>
      <c r="B180" s="11" t="s">
        <v>55</v>
      </c>
      <c r="C180" s="11" t="s">
        <v>393</v>
      </c>
      <c r="D180" s="16" t="s">
        <v>394</v>
      </c>
      <c r="E180" s="11"/>
      <c r="F180" s="11" t="s">
        <v>62</v>
      </c>
      <c r="G180" s="62" t="n">
        <v>485.25</v>
      </c>
      <c r="H180" s="63" t="n">
        <v>0</v>
      </c>
      <c r="I180" s="62">
        <f>ROUND(G180*AO180,2)</f>
      </c>
      <c r="J180" s="62">
        <f>ROUND(G180*AP180,2)</f>
      </c>
      <c r="K180" s="62">
        <f>ROUND(G180*H180,2)</f>
      </c>
      <c r="L180" s="62" t="n">
        <v>0.00158</v>
      </c>
      <c r="M180" s="62" t="n">
        <v>0.00158</v>
      </c>
      <c r="N180" s="62">
        <f>G180*M180</f>
      </c>
      <c r="O180" s="64" t="s">
        <v>63</v>
      </c>
      <c r="Z180" s="62">
        <f>ROUND(IF(AQ180="5",BJ180,0),2)</f>
      </c>
      <c r="AB180" s="62">
        <f>ROUND(IF(AQ180="1",BH180,0),2)</f>
      </c>
      <c r="AC180" s="62">
        <f>ROUND(IF(AQ180="1",BI180,0),2)</f>
      </c>
      <c r="AD180" s="62">
        <f>ROUND(IF(AQ180="7",BH180,0),2)</f>
      </c>
      <c r="AE180" s="62">
        <f>ROUND(IF(AQ180="7",BI180,0),2)</f>
      </c>
      <c r="AF180" s="62">
        <f>ROUND(IF(AQ180="2",BH180,0),2)</f>
      </c>
      <c r="AG180" s="62">
        <f>ROUND(IF(AQ180="2",BI180,0),2)</f>
      </c>
      <c r="AH180" s="62">
        <f>ROUND(IF(AQ180="0",BJ180,0),2)</f>
      </c>
      <c r="AI180" s="35" t="s">
        <v>55</v>
      </c>
      <c r="AJ180" s="62">
        <f>IF(AN180=0,K180,0)</f>
      </c>
      <c r="AK180" s="62">
        <f>IF(AN180=12,K180,0)</f>
      </c>
      <c r="AL180" s="62">
        <f>IF(AN180=21,K180,0)</f>
      </c>
      <c r="AN180" s="62" t="n">
        <v>21</v>
      </c>
      <c r="AO180" s="62">
        <f>H180*0.910771641</f>
      </c>
      <c r="AP180" s="62">
        <f>H180*(1-0.910771641)</f>
      </c>
      <c r="AQ180" s="65" t="s">
        <v>59</v>
      </c>
      <c r="AV180" s="62">
        <f>ROUND(AW180+AX180,2)</f>
      </c>
      <c r="AW180" s="62">
        <f>ROUND(G180*AO180,2)</f>
      </c>
      <c r="AX180" s="62">
        <f>ROUND(G180*AP180,2)</f>
      </c>
      <c r="AY180" s="65" t="s">
        <v>390</v>
      </c>
      <c r="AZ180" s="65" t="s">
        <v>380</v>
      </c>
      <c r="BA180" s="35" t="s">
        <v>66</v>
      </c>
      <c r="BC180" s="62">
        <f>AW180+AX180</f>
      </c>
      <c r="BD180" s="62">
        <f>H180/(100-BE180)*100</f>
      </c>
      <c r="BE180" s="62" t="n">
        <v>0</v>
      </c>
      <c r="BF180" s="62">
        <f>N180</f>
      </c>
      <c r="BH180" s="62">
        <f>G180*AO180</f>
      </c>
      <c r="BI180" s="62">
        <f>G180*AP180</f>
      </c>
      <c r="BJ180" s="62">
        <f>G180*H180</f>
      </c>
      <c r="BK180" s="65" t="s">
        <v>67</v>
      </c>
      <c r="BL180" s="62" t="n">
        <v>94</v>
      </c>
      <c r="BW180" s="62" t="n">
        <v>21</v>
      </c>
      <c r="BX180" s="16" t="s">
        <v>394</v>
      </c>
    </row>
    <row r="181">
      <c r="A181" s="66"/>
      <c r="D181" s="72" t="s">
        <v>395</v>
      </c>
      <c r="E181" s="73" t="s">
        <v>54</v>
      </c>
      <c r="G181" s="74" t="n">
        <v>485.25</v>
      </c>
      <c r="O181" s="75"/>
    </row>
    <row r="182">
      <c r="A182" s="10" t="s">
        <v>396</v>
      </c>
      <c r="B182" s="11" t="s">
        <v>55</v>
      </c>
      <c r="C182" s="11" t="s">
        <v>397</v>
      </c>
      <c r="D182" s="16" t="s">
        <v>398</v>
      </c>
      <c r="E182" s="11"/>
      <c r="F182" s="11" t="s">
        <v>62</v>
      </c>
      <c r="G182" s="62" t="n">
        <v>161.75</v>
      </c>
      <c r="H182" s="63" t="n">
        <v>0</v>
      </c>
      <c r="I182" s="62">
        <f>ROUND(G182*AO182,2)</f>
      </c>
      <c r="J182" s="62">
        <f>ROUND(G182*AP182,2)</f>
      </c>
      <c r="K182" s="62">
        <f>ROUND(G182*H182,2)</f>
      </c>
      <c r="L182" s="62" t="n">
        <v>0</v>
      </c>
      <c r="M182" s="62" t="n">
        <v>0</v>
      </c>
      <c r="N182" s="62">
        <f>G182*M182</f>
      </c>
      <c r="O182" s="64" t="s">
        <v>63</v>
      </c>
      <c r="Z182" s="62">
        <f>ROUND(IF(AQ182="5",BJ182,0),2)</f>
      </c>
      <c r="AB182" s="62">
        <f>ROUND(IF(AQ182="1",BH182,0),2)</f>
      </c>
      <c r="AC182" s="62">
        <f>ROUND(IF(AQ182="1",BI182,0),2)</f>
      </c>
      <c r="AD182" s="62">
        <f>ROUND(IF(AQ182="7",BH182,0),2)</f>
      </c>
      <c r="AE182" s="62">
        <f>ROUND(IF(AQ182="7",BI182,0),2)</f>
      </c>
      <c r="AF182" s="62">
        <f>ROUND(IF(AQ182="2",BH182,0),2)</f>
      </c>
      <c r="AG182" s="62">
        <f>ROUND(IF(AQ182="2",BI182,0),2)</f>
      </c>
      <c r="AH182" s="62">
        <f>ROUND(IF(AQ182="0",BJ182,0),2)</f>
      </c>
      <c r="AI182" s="35" t="s">
        <v>55</v>
      </c>
      <c r="AJ182" s="62">
        <f>IF(AN182=0,K182,0)</f>
      </c>
      <c r="AK182" s="62">
        <f>IF(AN182=12,K182,0)</f>
      </c>
      <c r="AL182" s="62">
        <f>IF(AN182=21,K182,0)</f>
      </c>
      <c r="AN182" s="62" t="n">
        <v>21</v>
      </c>
      <c r="AO182" s="62">
        <f>H182*0</f>
      </c>
      <c r="AP182" s="62">
        <f>H182*(1-0)</f>
      </c>
      <c r="AQ182" s="65" t="s">
        <v>59</v>
      </c>
      <c r="AV182" s="62">
        <f>ROUND(AW182+AX182,2)</f>
      </c>
      <c r="AW182" s="62">
        <f>ROUND(G182*AO182,2)</f>
      </c>
      <c r="AX182" s="62">
        <f>ROUND(G182*AP182,2)</f>
      </c>
      <c r="AY182" s="65" t="s">
        <v>390</v>
      </c>
      <c r="AZ182" s="65" t="s">
        <v>380</v>
      </c>
      <c r="BA182" s="35" t="s">
        <v>66</v>
      </c>
      <c r="BC182" s="62">
        <f>AW182+AX182</f>
      </c>
      <c r="BD182" s="62">
        <f>H182/(100-BE182)*100</f>
      </c>
      <c r="BE182" s="62" t="n">
        <v>0</v>
      </c>
      <c r="BF182" s="62">
        <f>N182</f>
      </c>
      <c r="BH182" s="62">
        <f>G182*AO182</f>
      </c>
      <c r="BI182" s="62">
        <f>G182*AP182</f>
      </c>
      <c r="BJ182" s="62">
        <f>G182*H182</f>
      </c>
      <c r="BK182" s="65" t="s">
        <v>67</v>
      </c>
      <c r="BL182" s="62" t="n">
        <v>94</v>
      </c>
      <c r="BW182" s="62" t="n">
        <v>21</v>
      </c>
      <c r="BX182" s="16" t="s">
        <v>398</v>
      </c>
    </row>
    <row r="183">
      <c r="A183" s="10" t="s">
        <v>399</v>
      </c>
      <c r="B183" s="11" t="s">
        <v>55</v>
      </c>
      <c r="C183" s="11" t="s">
        <v>400</v>
      </c>
      <c r="D183" s="16" t="s">
        <v>401</v>
      </c>
      <c r="E183" s="11"/>
      <c r="F183" s="11" t="s">
        <v>62</v>
      </c>
      <c r="G183" s="62" t="n">
        <v>60</v>
      </c>
      <c r="H183" s="63" t="n">
        <v>0</v>
      </c>
      <c r="I183" s="62">
        <f>ROUND(G183*AO183,2)</f>
      </c>
      <c r="J183" s="62">
        <f>ROUND(G183*AP183,2)</f>
      </c>
      <c r="K183" s="62">
        <f>ROUND(G183*H183,2)</f>
      </c>
      <c r="L183" s="62" t="n">
        <v>0.03554</v>
      </c>
      <c r="M183" s="62" t="n">
        <v>0.03554</v>
      </c>
      <c r="N183" s="62">
        <f>G183*M183</f>
      </c>
      <c r="O183" s="64" t="s">
        <v>63</v>
      </c>
      <c r="Z183" s="62">
        <f>ROUND(IF(AQ183="5",BJ183,0),2)</f>
      </c>
      <c r="AB183" s="62">
        <f>ROUND(IF(AQ183="1",BH183,0),2)</f>
      </c>
      <c r="AC183" s="62">
        <f>ROUND(IF(AQ183="1",BI183,0),2)</f>
      </c>
      <c r="AD183" s="62">
        <f>ROUND(IF(AQ183="7",BH183,0),2)</f>
      </c>
      <c r="AE183" s="62">
        <f>ROUND(IF(AQ183="7",BI183,0),2)</f>
      </c>
      <c r="AF183" s="62">
        <f>ROUND(IF(AQ183="2",BH183,0),2)</f>
      </c>
      <c r="AG183" s="62">
        <f>ROUND(IF(AQ183="2",BI183,0),2)</f>
      </c>
      <c r="AH183" s="62">
        <f>ROUND(IF(AQ183="0",BJ183,0),2)</f>
      </c>
      <c r="AI183" s="35" t="s">
        <v>55</v>
      </c>
      <c r="AJ183" s="62">
        <f>IF(AN183=0,K183,0)</f>
      </c>
      <c r="AK183" s="62">
        <f>IF(AN183=12,K183,0)</f>
      </c>
      <c r="AL183" s="62">
        <f>IF(AN183=21,K183,0)</f>
      </c>
      <c r="AN183" s="62" t="n">
        <v>21</v>
      </c>
      <c r="AO183" s="62">
        <f>H183*0.027954011</f>
      </c>
      <c r="AP183" s="62">
        <f>H183*(1-0.027954011)</f>
      </c>
      <c r="AQ183" s="65" t="s">
        <v>59</v>
      </c>
      <c r="AV183" s="62">
        <f>ROUND(AW183+AX183,2)</f>
      </c>
      <c r="AW183" s="62">
        <f>ROUND(G183*AO183,2)</f>
      </c>
      <c r="AX183" s="62">
        <f>ROUND(G183*AP183,2)</f>
      </c>
      <c r="AY183" s="65" t="s">
        <v>390</v>
      </c>
      <c r="AZ183" s="65" t="s">
        <v>380</v>
      </c>
      <c r="BA183" s="35" t="s">
        <v>66</v>
      </c>
      <c r="BC183" s="62">
        <f>AW183+AX183</f>
      </c>
      <c r="BD183" s="62">
        <f>H183/(100-BE183)*100</f>
      </c>
      <c r="BE183" s="62" t="n">
        <v>0</v>
      </c>
      <c r="BF183" s="62">
        <f>N183</f>
      </c>
      <c r="BH183" s="62">
        <f>G183*AO183</f>
      </c>
      <c r="BI183" s="62">
        <f>G183*AP183</f>
      </c>
      <c r="BJ183" s="62">
        <f>G183*H183</f>
      </c>
      <c r="BK183" s="65" t="s">
        <v>67</v>
      </c>
      <c r="BL183" s="62" t="n">
        <v>94</v>
      </c>
      <c r="BW183" s="62" t="n">
        <v>21</v>
      </c>
      <c r="BX183" s="16" t="s">
        <v>401</v>
      </c>
    </row>
    <row r="184" customHeight="true" ht="13.5">
      <c r="A184" s="66"/>
      <c r="C184" s="67" t="s">
        <v>68</v>
      </c>
      <c r="D184" s="68" t="s">
        <v>402</v>
      </c>
      <c r="E184" s="69"/>
      <c r="F184" s="69"/>
      <c r="G184" s="69"/>
      <c r="H184" s="70"/>
      <c r="I184" s="69"/>
      <c r="J184" s="69"/>
      <c r="K184" s="69"/>
      <c r="L184" s="69"/>
      <c r="M184" s="69"/>
      <c r="N184" s="69"/>
      <c r="O184" s="71"/>
    </row>
    <row r="185">
      <c r="A185" s="10" t="s">
        <v>403</v>
      </c>
      <c r="B185" s="11" t="s">
        <v>55</v>
      </c>
      <c r="C185" s="11" t="s">
        <v>404</v>
      </c>
      <c r="D185" s="16" t="s">
        <v>405</v>
      </c>
      <c r="E185" s="11"/>
      <c r="F185" s="11" t="s">
        <v>62</v>
      </c>
      <c r="G185" s="62" t="n">
        <v>180</v>
      </c>
      <c r="H185" s="63" t="n">
        <v>0</v>
      </c>
      <c r="I185" s="62">
        <f>ROUND(G185*AO185,2)</f>
      </c>
      <c r="J185" s="62">
        <f>ROUND(G185*AP185,2)</f>
      </c>
      <c r="K185" s="62">
        <f>ROUND(G185*H185,2)</f>
      </c>
      <c r="L185" s="62" t="n">
        <v>0.00356</v>
      </c>
      <c r="M185" s="62" t="n">
        <v>0.00356</v>
      </c>
      <c r="N185" s="62">
        <f>G185*M185</f>
      </c>
      <c r="O185" s="64" t="s">
        <v>63</v>
      </c>
      <c r="Z185" s="62">
        <f>ROUND(IF(AQ185="5",BJ185,0),2)</f>
      </c>
      <c r="AB185" s="62">
        <f>ROUND(IF(AQ185="1",BH185,0),2)</f>
      </c>
      <c r="AC185" s="62">
        <f>ROUND(IF(AQ185="1",BI185,0),2)</f>
      </c>
      <c r="AD185" s="62">
        <f>ROUND(IF(AQ185="7",BH185,0),2)</f>
      </c>
      <c r="AE185" s="62">
        <f>ROUND(IF(AQ185="7",BI185,0),2)</f>
      </c>
      <c r="AF185" s="62">
        <f>ROUND(IF(AQ185="2",BH185,0),2)</f>
      </c>
      <c r="AG185" s="62">
        <f>ROUND(IF(AQ185="2",BI185,0),2)</f>
      </c>
      <c r="AH185" s="62">
        <f>ROUND(IF(AQ185="0",BJ185,0),2)</f>
      </c>
      <c r="AI185" s="35" t="s">
        <v>55</v>
      </c>
      <c r="AJ185" s="62">
        <f>IF(AN185=0,K185,0)</f>
      </c>
      <c r="AK185" s="62">
        <f>IF(AN185=12,K185,0)</f>
      </c>
      <c r="AL185" s="62">
        <f>IF(AN185=21,K185,0)</f>
      </c>
      <c r="AN185" s="62" t="n">
        <v>21</v>
      </c>
      <c r="AO185" s="62">
        <f>H185*0.809389671</f>
      </c>
      <c r="AP185" s="62">
        <f>H185*(1-0.809389671)</f>
      </c>
      <c r="AQ185" s="65" t="s">
        <v>59</v>
      </c>
      <c r="AV185" s="62">
        <f>ROUND(AW185+AX185,2)</f>
      </c>
      <c r="AW185" s="62">
        <f>ROUND(G185*AO185,2)</f>
      </c>
      <c r="AX185" s="62">
        <f>ROUND(G185*AP185,2)</f>
      </c>
      <c r="AY185" s="65" t="s">
        <v>390</v>
      </c>
      <c r="AZ185" s="65" t="s">
        <v>380</v>
      </c>
      <c r="BA185" s="35" t="s">
        <v>66</v>
      </c>
      <c r="BC185" s="62">
        <f>AW185+AX185</f>
      </c>
      <c r="BD185" s="62">
        <f>H185/(100-BE185)*100</f>
      </c>
      <c r="BE185" s="62" t="n">
        <v>0</v>
      </c>
      <c r="BF185" s="62">
        <f>N185</f>
      </c>
      <c r="BH185" s="62">
        <f>G185*AO185</f>
      </c>
      <c r="BI185" s="62">
        <f>G185*AP185</f>
      </c>
      <c r="BJ185" s="62">
        <f>G185*H185</f>
      </c>
      <c r="BK185" s="65" t="s">
        <v>67</v>
      </c>
      <c r="BL185" s="62" t="n">
        <v>94</v>
      </c>
      <c r="BW185" s="62" t="n">
        <v>21</v>
      </c>
      <c r="BX185" s="16" t="s">
        <v>405</v>
      </c>
    </row>
    <row r="186">
      <c r="A186" s="66"/>
      <c r="D186" s="72" t="s">
        <v>406</v>
      </c>
      <c r="E186" s="73" t="s">
        <v>54</v>
      </c>
      <c r="G186" s="74" t="n">
        <v>180</v>
      </c>
      <c r="O186" s="75"/>
    </row>
    <row r="187">
      <c r="A187" s="10" t="s">
        <v>407</v>
      </c>
      <c r="B187" s="11" t="s">
        <v>55</v>
      </c>
      <c r="C187" s="11" t="s">
        <v>408</v>
      </c>
      <c r="D187" s="16" t="s">
        <v>409</v>
      </c>
      <c r="E187" s="11"/>
      <c r="F187" s="11" t="s">
        <v>62</v>
      </c>
      <c r="G187" s="62" t="n">
        <v>60</v>
      </c>
      <c r="H187" s="63" t="n">
        <v>0</v>
      </c>
      <c r="I187" s="62">
        <f>ROUND(G187*AO187,2)</f>
      </c>
      <c r="J187" s="62">
        <f>ROUND(G187*AP187,2)</f>
      </c>
      <c r="K187" s="62">
        <f>ROUND(G187*H187,2)</f>
      </c>
      <c r="L187" s="62" t="n">
        <v>0</v>
      </c>
      <c r="M187" s="62" t="n">
        <v>0</v>
      </c>
      <c r="N187" s="62">
        <f>G187*M187</f>
      </c>
      <c r="O187" s="64" t="s">
        <v>63</v>
      </c>
      <c r="Z187" s="62">
        <f>ROUND(IF(AQ187="5",BJ187,0),2)</f>
      </c>
      <c r="AB187" s="62">
        <f>ROUND(IF(AQ187="1",BH187,0),2)</f>
      </c>
      <c r="AC187" s="62">
        <f>ROUND(IF(AQ187="1",BI187,0),2)</f>
      </c>
      <c r="AD187" s="62">
        <f>ROUND(IF(AQ187="7",BH187,0),2)</f>
      </c>
      <c r="AE187" s="62">
        <f>ROUND(IF(AQ187="7",BI187,0),2)</f>
      </c>
      <c r="AF187" s="62">
        <f>ROUND(IF(AQ187="2",BH187,0),2)</f>
      </c>
      <c r="AG187" s="62">
        <f>ROUND(IF(AQ187="2",BI187,0),2)</f>
      </c>
      <c r="AH187" s="62">
        <f>ROUND(IF(AQ187="0",BJ187,0),2)</f>
      </c>
      <c r="AI187" s="35" t="s">
        <v>55</v>
      </c>
      <c r="AJ187" s="62">
        <f>IF(AN187=0,K187,0)</f>
      </c>
      <c r="AK187" s="62">
        <f>IF(AN187=12,K187,0)</f>
      </c>
      <c r="AL187" s="62">
        <f>IF(AN187=21,K187,0)</f>
      </c>
      <c r="AN187" s="62" t="n">
        <v>21</v>
      </c>
      <c r="AO187" s="62">
        <f>H187*0</f>
      </c>
      <c r="AP187" s="62">
        <f>H187*(1-0)</f>
      </c>
      <c r="AQ187" s="65" t="s">
        <v>59</v>
      </c>
      <c r="AV187" s="62">
        <f>ROUND(AW187+AX187,2)</f>
      </c>
      <c r="AW187" s="62">
        <f>ROUND(G187*AO187,2)</f>
      </c>
      <c r="AX187" s="62">
        <f>ROUND(G187*AP187,2)</f>
      </c>
      <c r="AY187" s="65" t="s">
        <v>390</v>
      </c>
      <c r="AZ187" s="65" t="s">
        <v>380</v>
      </c>
      <c r="BA187" s="35" t="s">
        <v>66</v>
      </c>
      <c r="BC187" s="62">
        <f>AW187+AX187</f>
      </c>
      <c r="BD187" s="62">
        <f>H187/(100-BE187)*100</f>
      </c>
      <c r="BE187" s="62" t="n">
        <v>0</v>
      </c>
      <c r="BF187" s="62">
        <f>N187</f>
      </c>
      <c r="BH187" s="62">
        <f>G187*AO187</f>
      </c>
      <c r="BI187" s="62">
        <f>G187*AP187</f>
      </c>
      <c r="BJ187" s="62">
        <f>G187*H187</f>
      </c>
      <c r="BK187" s="65" t="s">
        <v>67</v>
      </c>
      <c r="BL187" s="62" t="n">
        <v>94</v>
      </c>
      <c r="BW187" s="62" t="n">
        <v>21</v>
      </c>
      <c r="BX187" s="16" t="s">
        <v>409</v>
      </c>
    </row>
    <row r="188">
      <c r="A188" s="56" t="s">
        <v>54</v>
      </c>
      <c r="B188" s="57" t="s">
        <v>55</v>
      </c>
      <c r="C188" s="57" t="s">
        <v>410</v>
      </c>
      <c r="D188" s="58" t="s">
        <v>411</v>
      </c>
      <c r="E188" s="57"/>
      <c r="F188" s="59" t="s">
        <v>4</v>
      </c>
      <c r="G188" s="59" t="s">
        <v>4</v>
      </c>
      <c r="H188" s="60" t="s">
        <v>4</v>
      </c>
      <c r="I188" s="2">
        <f>SUM(I189:I199)</f>
      </c>
      <c r="J188" s="2">
        <f>SUM(J189:J199)</f>
      </c>
      <c r="K188" s="2">
        <f>SUM(K189:K199)</f>
      </c>
      <c r="L188" s="35" t="s">
        <v>54</v>
      </c>
      <c r="M188" s="35" t="s">
        <v>54</v>
      </c>
      <c r="N188" s="2">
        <f>SUM(N189:N199)</f>
      </c>
      <c r="O188" s="61" t="s">
        <v>54</v>
      </c>
      <c r="AI188" s="35" t="s">
        <v>55</v>
      </c>
      <c r="AS188" s="2">
        <f>SUM(AJ189:AJ199)</f>
      </c>
      <c r="AT188" s="2">
        <f>SUM(AK189:AK199)</f>
      </c>
      <c r="AU188" s="2">
        <f>SUM(AL189:AL199)</f>
      </c>
    </row>
    <row r="189">
      <c r="A189" s="10" t="s">
        <v>412</v>
      </c>
      <c r="B189" s="11" t="s">
        <v>55</v>
      </c>
      <c r="C189" s="11" t="s">
        <v>413</v>
      </c>
      <c r="D189" s="16" t="s">
        <v>414</v>
      </c>
      <c r="E189" s="11"/>
      <c r="F189" s="11" t="s">
        <v>62</v>
      </c>
      <c r="G189" s="62" t="n">
        <v>2</v>
      </c>
      <c r="H189" s="63" t="n">
        <v>0</v>
      </c>
      <c r="I189" s="62">
        <f>ROUND(G189*AO189,2)</f>
      </c>
      <c r="J189" s="62">
        <f>ROUND(G189*AP189,2)</f>
      </c>
      <c r="K189" s="62">
        <f>ROUND(G189*H189,2)</f>
      </c>
      <c r="L189" s="62" t="n">
        <v>0.00194</v>
      </c>
      <c r="M189" s="62" t="n">
        <v>0.00194</v>
      </c>
      <c r="N189" s="62">
        <f>G189*M189</f>
      </c>
      <c r="O189" s="64" t="s">
        <v>63</v>
      </c>
      <c r="Z189" s="62">
        <f>ROUND(IF(AQ189="5",BJ189,0),2)</f>
      </c>
      <c r="AB189" s="62">
        <f>ROUND(IF(AQ189="1",BH189,0),2)</f>
      </c>
      <c r="AC189" s="62">
        <f>ROUND(IF(AQ189="1",BI189,0),2)</f>
      </c>
      <c r="AD189" s="62">
        <f>ROUND(IF(AQ189="7",BH189,0),2)</f>
      </c>
      <c r="AE189" s="62">
        <f>ROUND(IF(AQ189="7",BI189,0),2)</f>
      </c>
      <c r="AF189" s="62">
        <f>ROUND(IF(AQ189="2",BH189,0),2)</f>
      </c>
      <c r="AG189" s="62">
        <f>ROUND(IF(AQ189="2",BI189,0),2)</f>
      </c>
      <c r="AH189" s="62">
        <f>ROUND(IF(AQ189="0",BJ189,0),2)</f>
      </c>
      <c r="AI189" s="35" t="s">
        <v>55</v>
      </c>
      <c r="AJ189" s="62">
        <f>IF(AN189=0,K189,0)</f>
      </c>
      <c r="AK189" s="62">
        <f>IF(AN189=12,K189,0)</f>
      </c>
      <c r="AL189" s="62">
        <f>IF(AN189=21,K189,0)</f>
      </c>
      <c r="AN189" s="62" t="n">
        <v>21</v>
      </c>
      <c r="AO189" s="62">
        <f>H189*0.328122133</f>
      </c>
      <c r="AP189" s="62">
        <f>H189*(1-0.328122133)</f>
      </c>
      <c r="AQ189" s="65" t="s">
        <v>59</v>
      </c>
      <c r="AV189" s="62">
        <f>ROUND(AW189+AX189,2)</f>
      </c>
      <c r="AW189" s="62">
        <f>ROUND(G189*AO189,2)</f>
      </c>
      <c r="AX189" s="62">
        <f>ROUND(G189*AP189,2)</f>
      </c>
      <c r="AY189" s="65" t="s">
        <v>415</v>
      </c>
      <c r="AZ189" s="65" t="s">
        <v>380</v>
      </c>
      <c r="BA189" s="35" t="s">
        <v>66</v>
      </c>
      <c r="BC189" s="62">
        <f>AW189+AX189</f>
      </c>
      <c r="BD189" s="62">
        <f>H189/(100-BE189)*100</f>
      </c>
      <c r="BE189" s="62" t="n">
        <v>0</v>
      </c>
      <c r="BF189" s="62">
        <f>N189</f>
      </c>
      <c r="BH189" s="62">
        <f>G189*AO189</f>
      </c>
      <c r="BI189" s="62">
        <f>G189*AP189</f>
      </c>
      <c r="BJ189" s="62">
        <f>G189*H189</f>
      </c>
      <c r="BK189" s="65" t="s">
        <v>67</v>
      </c>
      <c r="BL189" s="62" t="n">
        <v>95</v>
      </c>
      <c r="BW189" s="62" t="n">
        <v>21</v>
      </c>
      <c r="BX189" s="16" t="s">
        <v>414</v>
      </c>
    </row>
    <row r="190" customHeight="true" ht="13.5">
      <c r="A190" s="66"/>
      <c r="C190" s="67" t="s">
        <v>68</v>
      </c>
      <c r="D190" s="68" t="s">
        <v>416</v>
      </c>
      <c r="E190" s="69"/>
      <c r="F190" s="69"/>
      <c r="G190" s="69"/>
      <c r="H190" s="70"/>
      <c r="I190" s="69"/>
      <c r="J190" s="69"/>
      <c r="K190" s="69"/>
      <c r="L190" s="69"/>
      <c r="M190" s="69"/>
      <c r="N190" s="69"/>
      <c r="O190" s="71"/>
    </row>
    <row r="191">
      <c r="A191" s="10" t="s">
        <v>417</v>
      </c>
      <c r="B191" s="11" t="s">
        <v>55</v>
      </c>
      <c r="C191" s="11" t="s">
        <v>418</v>
      </c>
      <c r="D191" s="16" t="s">
        <v>419</v>
      </c>
      <c r="E191" s="11"/>
      <c r="F191" s="11" t="s">
        <v>62</v>
      </c>
      <c r="G191" s="62" t="n">
        <v>30.41</v>
      </c>
      <c r="H191" s="63" t="n">
        <v>0</v>
      </c>
      <c r="I191" s="62">
        <f>ROUND(G191*AO191,2)</f>
      </c>
      <c r="J191" s="62">
        <f>ROUND(G191*AP191,2)</f>
      </c>
      <c r="K191" s="62">
        <f>ROUND(G191*H191,2)</f>
      </c>
      <c r="L191" s="62" t="n">
        <v>1E-5</v>
      </c>
      <c r="M191" s="62" t="n">
        <v>1E-5</v>
      </c>
      <c r="N191" s="62">
        <f>G191*M191</f>
      </c>
      <c r="O191" s="64" t="s">
        <v>63</v>
      </c>
      <c r="Z191" s="62">
        <f>ROUND(IF(AQ191="5",BJ191,0),2)</f>
      </c>
      <c r="AB191" s="62">
        <f>ROUND(IF(AQ191="1",BH191,0),2)</f>
      </c>
      <c r="AC191" s="62">
        <f>ROUND(IF(AQ191="1",BI191,0),2)</f>
      </c>
      <c r="AD191" s="62">
        <f>ROUND(IF(AQ191="7",BH191,0),2)</f>
      </c>
      <c r="AE191" s="62">
        <f>ROUND(IF(AQ191="7",BI191,0),2)</f>
      </c>
      <c r="AF191" s="62">
        <f>ROUND(IF(AQ191="2",BH191,0),2)</f>
      </c>
      <c r="AG191" s="62">
        <f>ROUND(IF(AQ191="2",BI191,0),2)</f>
      </c>
      <c r="AH191" s="62">
        <f>ROUND(IF(AQ191="0",BJ191,0),2)</f>
      </c>
      <c r="AI191" s="35" t="s">
        <v>55</v>
      </c>
      <c r="AJ191" s="62">
        <f>IF(AN191=0,K191,0)</f>
      </c>
      <c r="AK191" s="62">
        <f>IF(AN191=12,K191,0)</f>
      </c>
      <c r="AL191" s="62">
        <f>IF(AN191=21,K191,0)</f>
      </c>
      <c r="AN191" s="62" t="n">
        <v>21</v>
      </c>
      <c r="AO191" s="62">
        <f>H191*0.019725834</f>
      </c>
      <c r="AP191" s="62">
        <f>H191*(1-0.019725834)</f>
      </c>
      <c r="AQ191" s="65" t="s">
        <v>59</v>
      </c>
      <c r="AV191" s="62">
        <f>ROUND(AW191+AX191,2)</f>
      </c>
      <c r="AW191" s="62">
        <f>ROUND(G191*AO191,2)</f>
      </c>
      <c r="AX191" s="62">
        <f>ROUND(G191*AP191,2)</f>
      </c>
      <c r="AY191" s="65" t="s">
        <v>415</v>
      </c>
      <c r="AZ191" s="65" t="s">
        <v>380</v>
      </c>
      <c r="BA191" s="35" t="s">
        <v>66</v>
      </c>
      <c r="BC191" s="62">
        <f>AW191+AX191</f>
      </c>
      <c r="BD191" s="62">
        <f>H191/(100-BE191)*100</f>
      </c>
      <c r="BE191" s="62" t="n">
        <v>0</v>
      </c>
      <c r="BF191" s="62">
        <f>N191</f>
      </c>
      <c r="BH191" s="62">
        <f>G191*AO191</f>
      </c>
      <c r="BI191" s="62">
        <f>G191*AP191</f>
      </c>
      <c r="BJ191" s="62">
        <f>G191*H191</f>
      </c>
      <c r="BK191" s="65" t="s">
        <v>67</v>
      </c>
      <c r="BL191" s="62" t="n">
        <v>95</v>
      </c>
      <c r="BW191" s="62" t="n">
        <v>21</v>
      </c>
      <c r="BX191" s="16" t="s">
        <v>419</v>
      </c>
    </row>
    <row r="192">
      <c r="A192" s="66"/>
      <c r="D192" s="72" t="s">
        <v>192</v>
      </c>
      <c r="E192" s="73" t="s">
        <v>54</v>
      </c>
      <c r="G192" s="74" t="n">
        <v>30.41</v>
      </c>
      <c r="O192" s="75"/>
    </row>
    <row r="193">
      <c r="A193" s="10" t="s">
        <v>420</v>
      </c>
      <c r="B193" s="11" t="s">
        <v>55</v>
      </c>
      <c r="C193" s="11" t="s">
        <v>421</v>
      </c>
      <c r="D193" s="16" t="s">
        <v>422</v>
      </c>
      <c r="E193" s="11"/>
      <c r="F193" s="11" t="s">
        <v>62</v>
      </c>
      <c r="G193" s="62" t="n">
        <v>88</v>
      </c>
      <c r="H193" s="63" t="n">
        <v>0</v>
      </c>
      <c r="I193" s="62">
        <f>ROUND(G193*AO193,2)</f>
      </c>
      <c r="J193" s="62">
        <f>ROUND(G193*AP193,2)</f>
      </c>
      <c r="K193" s="62">
        <f>ROUND(G193*H193,2)</f>
      </c>
      <c r="L193" s="62" t="n">
        <v>4E-5</v>
      </c>
      <c r="M193" s="62" t="n">
        <v>4E-5</v>
      </c>
      <c r="N193" s="62">
        <f>G193*M193</f>
      </c>
      <c r="O193" s="64" t="s">
        <v>63</v>
      </c>
      <c r="Z193" s="62">
        <f>ROUND(IF(AQ193="5",BJ193,0),2)</f>
      </c>
      <c r="AB193" s="62">
        <f>ROUND(IF(AQ193="1",BH193,0),2)</f>
      </c>
      <c r="AC193" s="62">
        <f>ROUND(IF(AQ193="1",BI193,0),2)</f>
      </c>
      <c r="AD193" s="62">
        <f>ROUND(IF(AQ193="7",BH193,0),2)</f>
      </c>
      <c r="AE193" s="62">
        <f>ROUND(IF(AQ193="7",BI193,0),2)</f>
      </c>
      <c r="AF193" s="62">
        <f>ROUND(IF(AQ193="2",BH193,0),2)</f>
      </c>
      <c r="AG193" s="62">
        <f>ROUND(IF(AQ193="2",BI193,0),2)</f>
      </c>
      <c r="AH193" s="62">
        <f>ROUND(IF(AQ193="0",BJ193,0),2)</f>
      </c>
      <c r="AI193" s="35" t="s">
        <v>55</v>
      </c>
      <c r="AJ193" s="62">
        <f>IF(AN193=0,K193,0)</f>
      </c>
      <c r="AK193" s="62">
        <f>IF(AN193=12,K193,0)</f>
      </c>
      <c r="AL193" s="62">
        <f>IF(AN193=21,K193,0)</f>
      </c>
      <c r="AN193" s="62" t="n">
        <v>21</v>
      </c>
      <c r="AO193" s="62">
        <f>H193*0.011017917</f>
      </c>
      <c r="AP193" s="62">
        <f>H193*(1-0.011017917)</f>
      </c>
      <c r="AQ193" s="65" t="s">
        <v>59</v>
      </c>
      <c r="AV193" s="62">
        <f>ROUND(AW193+AX193,2)</f>
      </c>
      <c r="AW193" s="62">
        <f>ROUND(G193*AO193,2)</f>
      </c>
      <c r="AX193" s="62">
        <f>ROUND(G193*AP193,2)</f>
      </c>
      <c r="AY193" s="65" t="s">
        <v>415</v>
      </c>
      <c r="AZ193" s="65" t="s">
        <v>380</v>
      </c>
      <c r="BA193" s="35" t="s">
        <v>66</v>
      </c>
      <c r="BC193" s="62">
        <f>AW193+AX193</f>
      </c>
      <c r="BD193" s="62">
        <f>H193/(100-BE193)*100</f>
      </c>
      <c r="BE193" s="62" t="n">
        <v>0</v>
      </c>
      <c r="BF193" s="62">
        <f>N193</f>
      </c>
      <c r="BH193" s="62">
        <f>G193*AO193</f>
      </c>
      <c r="BI193" s="62">
        <f>G193*AP193</f>
      </c>
      <c r="BJ193" s="62">
        <f>G193*H193</f>
      </c>
      <c r="BK193" s="65" t="s">
        <v>67</v>
      </c>
      <c r="BL193" s="62" t="n">
        <v>95</v>
      </c>
      <c r="BW193" s="62" t="n">
        <v>21</v>
      </c>
      <c r="BX193" s="16" t="s">
        <v>422</v>
      </c>
    </row>
    <row r="194">
      <c r="A194" s="66"/>
      <c r="D194" s="72" t="s">
        <v>423</v>
      </c>
      <c r="E194" s="73" t="s">
        <v>54</v>
      </c>
      <c r="G194" s="74" t="n">
        <v>88</v>
      </c>
      <c r="O194" s="75"/>
    </row>
    <row r="195">
      <c r="A195" s="10" t="s">
        <v>424</v>
      </c>
      <c r="B195" s="11" t="s">
        <v>55</v>
      </c>
      <c r="C195" s="11" t="s">
        <v>425</v>
      </c>
      <c r="D195" s="16" t="s">
        <v>426</v>
      </c>
      <c r="E195" s="11"/>
      <c r="F195" s="11" t="s">
        <v>103</v>
      </c>
      <c r="G195" s="62" t="n">
        <v>9</v>
      </c>
      <c r="H195" s="63" t="n">
        <v>0</v>
      </c>
      <c r="I195" s="62">
        <f>ROUND(G195*AO195,2)</f>
      </c>
      <c r="J195" s="62">
        <f>ROUND(G195*AP195,2)</f>
      </c>
      <c r="K195" s="62">
        <f>ROUND(G195*H195,2)</f>
      </c>
      <c r="L195" s="62" t="n">
        <v>0.00477</v>
      </c>
      <c r="M195" s="62" t="n">
        <v>0.00477</v>
      </c>
      <c r="N195" s="62">
        <f>G195*M195</f>
      </c>
      <c r="O195" s="64" t="s">
        <v>63</v>
      </c>
      <c r="Z195" s="62">
        <f>ROUND(IF(AQ195="5",BJ195,0),2)</f>
      </c>
      <c r="AB195" s="62">
        <f>ROUND(IF(AQ195="1",BH195,0),2)</f>
      </c>
      <c r="AC195" s="62">
        <f>ROUND(IF(AQ195="1",BI195,0),2)</f>
      </c>
      <c r="AD195" s="62">
        <f>ROUND(IF(AQ195="7",BH195,0),2)</f>
      </c>
      <c r="AE195" s="62">
        <f>ROUND(IF(AQ195="7",BI195,0),2)</f>
      </c>
      <c r="AF195" s="62">
        <f>ROUND(IF(AQ195="2",BH195,0),2)</f>
      </c>
      <c r="AG195" s="62">
        <f>ROUND(IF(AQ195="2",BI195,0),2)</f>
      </c>
      <c r="AH195" s="62">
        <f>ROUND(IF(AQ195="0",BJ195,0),2)</f>
      </c>
      <c r="AI195" s="35" t="s">
        <v>55</v>
      </c>
      <c r="AJ195" s="62">
        <f>IF(AN195=0,K195,0)</f>
      </c>
      <c r="AK195" s="62">
        <f>IF(AN195=12,K195,0)</f>
      </c>
      <c r="AL195" s="62">
        <f>IF(AN195=21,K195,0)</f>
      </c>
      <c r="AN195" s="62" t="n">
        <v>21</v>
      </c>
      <c r="AO195" s="62">
        <f>H195*0.02973064</f>
      </c>
      <c r="AP195" s="62">
        <f>H195*(1-0.02973064)</f>
      </c>
      <c r="AQ195" s="65" t="s">
        <v>59</v>
      </c>
      <c r="AV195" s="62">
        <f>ROUND(AW195+AX195,2)</f>
      </c>
      <c r="AW195" s="62">
        <f>ROUND(G195*AO195,2)</f>
      </c>
      <c r="AX195" s="62">
        <f>ROUND(G195*AP195,2)</f>
      </c>
      <c r="AY195" s="65" t="s">
        <v>415</v>
      </c>
      <c r="AZ195" s="65" t="s">
        <v>380</v>
      </c>
      <c r="BA195" s="35" t="s">
        <v>66</v>
      </c>
      <c r="BC195" s="62">
        <f>AW195+AX195</f>
      </c>
      <c r="BD195" s="62">
        <f>H195/(100-BE195)*100</f>
      </c>
      <c r="BE195" s="62" t="n">
        <v>0</v>
      </c>
      <c r="BF195" s="62">
        <f>N195</f>
      </c>
      <c r="BH195" s="62">
        <f>G195*AO195</f>
      </c>
      <c r="BI195" s="62">
        <f>G195*AP195</f>
      </c>
      <c r="BJ195" s="62">
        <f>G195*H195</f>
      </c>
      <c r="BK195" s="65" t="s">
        <v>67</v>
      </c>
      <c r="BL195" s="62" t="n">
        <v>95</v>
      </c>
      <c r="BW195" s="62" t="n">
        <v>21</v>
      </c>
      <c r="BX195" s="16" t="s">
        <v>426</v>
      </c>
    </row>
    <row r="196" customHeight="true" ht="13.5">
      <c r="A196" s="66"/>
      <c r="C196" s="76" t="s">
        <v>71</v>
      </c>
      <c r="D196" s="77" t="s">
        <v>427</v>
      </c>
      <c r="E196" s="78"/>
      <c r="F196" s="78"/>
      <c r="G196" s="78"/>
      <c r="H196" s="79"/>
      <c r="I196" s="78"/>
      <c r="J196" s="78"/>
      <c r="K196" s="78"/>
      <c r="L196" s="78"/>
      <c r="M196" s="78"/>
      <c r="N196" s="78"/>
      <c r="O196" s="80"/>
    </row>
    <row r="197">
      <c r="A197" s="10" t="s">
        <v>428</v>
      </c>
      <c r="B197" s="11" t="s">
        <v>55</v>
      </c>
      <c r="C197" s="11" t="s">
        <v>429</v>
      </c>
      <c r="D197" s="16" t="s">
        <v>430</v>
      </c>
      <c r="E197" s="11"/>
      <c r="F197" s="11" t="s">
        <v>103</v>
      </c>
      <c r="G197" s="62" t="n">
        <v>1</v>
      </c>
      <c r="H197" s="63" t="n">
        <v>0</v>
      </c>
      <c r="I197" s="62">
        <f>ROUND(G197*AO197,2)</f>
      </c>
      <c r="J197" s="62">
        <f>ROUND(G197*AP197,2)</f>
      </c>
      <c r="K197" s="62">
        <f>ROUND(G197*H197,2)</f>
      </c>
      <c r="L197" s="62" t="n">
        <v>0.02864</v>
      </c>
      <c r="M197" s="62" t="n">
        <v>0.02864</v>
      </c>
      <c r="N197" s="62">
        <f>G197*M197</f>
      </c>
      <c r="O197" s="64" t="s">
        <v>63</v>
      </c>
      <c r="Z197" s="62">
        <f>ROUND(IF(AQ197="5",BJ197,0),2)</f>
      </c>
      <c r="AB197" s="62">
        <f>ROUND(IF(AQ197="1",BH197,0),2)</f>
      </c>
      <c r="AC197" s="62">
        <f>ROUND(IF(AQ197="1",BI197,0),2)</f>
      </c>
      <c r="AD197" s="62">
        <f>ROUND(IF(AQ197="7",BH197,0),2)</f>
      </c>
      <c r="AE197" s="62">
        <f>ROUND(IF(AQ197="7",BI197,0),2)</f>
      </c>
      <c r="AF197" s="62">
        <f>ROUND(IF(AQ197="2",BH197,0),2)</f>
      </c>
      <c r="AG197" s="62">
        <f>ROUND(IF(AQ197="2",BI197,0),2)</f>
      </c>
      <c r="AH197" s="62">
        <f>ROUND(IF(AQ197="0",BJ197,0),2)</f>
      </c>
      <c r="AI197" s="35" t="s">
        <v>55</v>
      </c>
      <c r="AJ197" s="62">
        <f>IF(AN197=0,K197,0)</f>
      </c>
      <c r="AK197" s="62">
        <f>IF(AN197=12,K197,0)</f>
      </c>
      <c r="AL197" s="62">
        <f>IF(AN197=21,K197,0)</f>
      </c>
      <c r="AN197" s="62" t="n">
        <v>21</v>
      </c>
      <c r="AO197" s="62">
        <f>H197*0.103243857</f>
      </c>
      <c r="AP197" s="62">
        <f>H197*(1-0.103243857)</f>
      </c>
      <c r="AQ197" s="65" t="s">
        <v>59</v>
      </c>
      <c r="AV197" s="62">
        <f>ROUND(AW197+AX197,2)</f>
      </c>
      <c r="AW197" s="62">
        <f>ROUND(G197*AO197,2)</f>
      </c>
      <c r="AX197" s="62">
        <f>ROUND(G197*AP197,2)</f>
      </c>
      <c r="AY197" s="65" t="s">
        <v>415</v>
      </c>
      <c r="AZ197" s="65" t="s">
        <v>380</v>
      </c>
      <c r="BA197" s="35" t="s">
        <v>66</v>
      </c>
      <c r="BC197" s="62">
        <f>AW197+AX197</f>
      </c>
      <c r="BD197" s="62">
        <f>H197/(100-BE197)*100</f>
      </c>
      <c r="BE197" s="62" t="n">
        <v>0</v>
      </c>
      <c r="BF197" s="62">
        <f>N197</f>
      </c>
      <c r="BH197" s="62">
        <f>G197*AO197</f>
      </c>
      <c r="BI197" s="62">
        <f>G197*AP197</f>
      </c>
      <c r="BJ197" s="62">
        <f>G197*H197</f>
      </c>
      <c r="BK197" s="65" t="s">
        <v>67</v>
      </c>
      <c r="BL197" s="62" t="n">
        <v>95</v>
      </c>
      <c r="BW197" s="62" t="n">
        <v>21</v>
      </c>
      <c r="BX197" s="16" t="s">
        <v>430</v>
      </c>
    </row>
    <row r="198" customHeight="true" ht="13.5">
      <c r="A198" s="66"/>
      <c r="C198" s="76" t="s">
        <v>71</v>
      </c>
      <c r="D198" s="77" t="s">
        <v>431</v>
      </c>
      <c r="E198" s="78"/>
      <c r="F198" s="78"/>
      <c r="G198" s="78"/>
      <c r="H198" s="79"/>
      <c r="I198" s="78"/>
      <c r="J198" s="78"/>
      <c r="K198" s="78"/>
      <c r="L198" s="78"/>
      <c r="M198" s="78"/>
      <c r="N198" s="78"/>
      <c r="O198" s="80"/>
    </row>
    <row r="199">
      <c r="A199" s="10" t="s">
        <v>432</v>
      </c>
      <c r="B199" s="11" t="s">
        <v>55</v>
      </c>
      <c r="C199" s="11" t="s">
        <v>433</v>
      </c>
      <c r="D199" s="16" t="s">
        <v>434</v>
      </c>
      <c r="E199" s="11"/>
      <c r="F199" s="11" t="s">
        <v>103</v>
      </c>
      <c r="G199" s="62" t="n">
        <v>4</v>
      </c>
      <c r="H199" s="63" t="n">
        <v>0</v>
      </c>
      <c r="I199" s="62">
        <f>ROUND(G199*AO199,2)</f>
      </c>
      <c r="J199" s="62">
        <f>ROUND(G199*AP199,2)</f>
      </c>
      <c r="K199" s="62">
        <f>ROUND(G199*H199,2)</f>
      </c>
      <c r="L199" s="62" t="n">
        <v>0</v>
      </c>
      <c r="M199" s="62" t="n">
        <v>0</v>
      </c>
      <c r="N199" s="62">
        <f>G199*M199</f>
      </c>
      <c r="O199" s="64" t="s">
        <v>63</v>
      </c>
      <c r="Z199" s="62">
        <f>ROUND(IF(AQ199="5",BJ199,0),2)</f>
      </c>
      <c r="AB199" s="62">
        <f>ROUND(IF(AQ199="1",BH199,0),2)</f>
      </c>
      <c r="AC199" s="62">
        <f>ROUND(IF(AQ199="1",BI199,0),2)</f>
      </c>
      <c r="AD199" s="62">
        <f>ROUND(IF(AQ199="7",BH199,0),2)</f>
      </c>
      <c r="AE199" s="62">
        <f>ROUND(IF(AQ199="7",BI199,0),2)</f>
      </c>
      <c r="AF199" s="62">
        <f>ROUND(IF(AQ199="2",BH199,0),2)</f>
      </c>
      <c r="AG199" s="62">
        <f>ROUND(IF(AQ199="2",BI199,0),2)</f>
      </c>
      <c r="AH199" s="62">
        <f>ROUND(IF(AQ199="0",BJ199,0),2)</f>
      </c>
      <c r="AI199" s="35" t="s">
        <v>55</v>
      </c>
      <c r="AJ199" s="62">
        <f>IF(AN199=0,K199,0)</f>
      </c>
      <c r="AK199" s="62">
        <f>IF(AN199=12,K199,0)</f>
      </c>
      <c r="AL199" s="62">
        <f>IF(AN199=21,K199,0)</f>
      </c>
      <c r="AN199" s="62" t="n">
        <v>21</v>
      </c>
      <c r="AO199" s="62">
        <f>H199*0.492644046</f>
      </c>
      <c r="AP199" s="62">
        <f>H199*(1-0.492644046)</f>
      </c>
      <c r="AQ199" s="65" t="s">
        <v>59</v>
      </c>
      <c r="AV199" s="62">
        <f>ROUND(AW199+AX199,2)</f>
      </c>
      <c r="AW199" s="62">
        <f>ROUND(G199*AO199,2)</f>
      </c>
      <c r="AX199" s="62">
        <f>ROUND(G199*AP199,2)</f>
      </c>
      <c r="AY199" s="65" t="s">
        <v>415</v>
      </c>
      <c r="AZ199" s="65" t="s">
        <v>380</v>
      </c>
      <c r="BA199" s="35" t="s">
        <v>66</v>
      </c>
      <c r="BC199" s="62">
        <f>AW199+AX199</f>
      </c>
      <c r="BD199" s="62">
        <f>H199/(100-BE199)*100</f>
      </c>
      <c r="BE199" s="62" t="n">
        <v>0</v>
      </c>
      <c r="BF199" s="62">
        <f>N199</f>
      </c>
      <c r="BH199" s="62">
        <f>G199*AO199</f>
      </c>
      <c r="BI199" s="62">
        <f>G199*AP199</f>
      </c>
      <c r="BJ199" s="62">
        <f>G199*H199</f>
      </c>
      <c r="BK199" s="65" t="s">
        <v>67</v>
      </c>
      <c r="BL199" s="62" t="n">
        <v>95</v>
      </c>
      <c r="BW199" s="62" t="n">
        <v>21</v>
      </c>
      <c r="BX199" s="16" t="s">
        <v>434</v>
      </c>
    </row>
    <row r="200" customHeight="true" ht="13.5">
      <c r="A200" s="66"/>
      <c r="C200" s="67" t="s">
        <v>68</v>
      </c>
      <c r="D200" s="68" t="s">
        <v>435</v>
      </c>
      <c r="E200" s="69"/>
      <c r="F200" s="69"/>
      <c r="G200" s="69"/>
      <c r="H200" s="70"/>
      <c r="I200" s="69"/>
      <c r="J200" s="69"/>
      <c r="K200" s="69"/>
      <c r="L200" s="69"/>
      <c r="M200" s="69"/>
      <c r="N200" s="69"/>
      <c r="O200" s="71"/>
    </row>
    <row r="201">
      <c r="A201" s="56" t="s">
        <v>54</v>
      </c>
      <c r="B201" s="57" t="s">
        <v>55</v>
      </c>
      <c r="C201" s="57" t="s">
        <v>436</v>
      </c>
      <c r="D201" s="58" t="s">
        <v>437</v>
      </c>
      <c r="E201" s="57"/>
      <c r="F201" s="59" t="s">
        <v>4</v>
      </c>
      <c r="G201" s="59" t="s">
        <v>4</v>
      </c>
      <c r="H201" s="60" t="s">
        <v>4</v>
      </c>
      <c r="I201" s="2">
        <f>SUM(I202:I218)</f>
      </c>
      <c r="J201" s="2">
        <f>SUM(J202:J218)</f>
      </c>
      <c r="K201" s="2">
        <f>SUM(K202:K218)</f>
      </c>
      <c r="L201" s="35" t="s">
        <v>54</v>
      </c>
      <c r="M201" s="35" t="s">
        <v>54</v>
      </c>
      <c r="N201" s="2">
        <f>SUM(N202:N218)</f>
      </c>
      <c r="O201" s="61" t="s">
        <v>54</v>
      </c>
      <c r="AI201" s="35" t="s">
        <v>55</v>
      </c>
      <c r="AS201" s="2">
        <f>SUM(AJ202:AJ218)</f>
      </c>
      <c r="AT201" s="2">
        <f>SUM(AK202:AK218)</f>
      </c>
      <c r="AU201" s="2">
        <f>SUM(AL202:AL218)</f>
      </c>
    </row>
    <row r="202">
      <c r="A202" s="10" t="s">
        <v>438</v>
      </c>
      <c r="B202" s="11" t="s">
        <v>55</v>
      </c>
      <c r="C202" s="11" t="s">
        <v>439</v>
      </c>
      <c r="D202" s="16" t="s">
        <v>440</v>
      </c>
      <c r="E202" s="11"/>
      <c r="F202" s="11" t="s">
        <v>78</v>
      </c>
      <c r="G202" s="62" t="n">
        <v>0.11</v>
      </c>
      <c r="H202" s="63" t="n">
        <v>0</v>
      </c>
      <c r="I202" s="62">
        <f>ROUND(G202*AO202,2)</f>
      </c>
      <c r="J202" s="62">
        <f>ROUND(G202*AP202,2)</f>
      </c>
      <c r="K202" s="62">
        <f>ROUND(G202*H202,2)</f>
      </c>
      <c r="L202" s="62" t="n">
        <v>0</v>
      </c>
      <c r="M202" s="62" t="n">
        <v>2.2</v>
      </c>
      <c r="N202" s="62">
        <f>G202*M202</f>
      </c>
      <c r="O202" s="64" t="s">
        <v>63</v>
      </c>
      <c r="Z202" s="62">
        <f>ROUND(IF(AQ202="5",BJ202,0),2)</f>
      </c>
      <c r="AB202" s="62">
        <f>ROUND(IF(AQ202="1",BH202,0),2)</f>
      </c>
      <c r="AC202" s="62">
        <f>ROUND(IF(AQ202="1",BI202,0),2)</f>
      </c>
      <c r="AD202" s="62">
        <f>ROUND(IF(AQ202="7",BH202,0),2)</f>
      </c>
      <c r="AE202" s="62">
        <f>ROUND(IF(AQ202="7",BI202,0),2)</f>
      </c>
      <c r="AF202" s="62">
        <f>ROUND(IF(AQ202="2",BH202,0),2)</f>
      </c>
      <c r="AG202" s="62">
        <f>ROUND(IF(AQ202="2",BI202,0),2)</f>
      </c>
      <c r="AH202" s="62">
        <f>ROUND(IF(AQ202="0",BJ202,0),2)</f>
      </c>
      <c r="AI202" s="35" t="s">
        <v>55</v>
      </c>
      <c r="AJ202" s="62">
        <f>IF(AN202=0,K202,0)</f>
      </c>
      <c r="AK202" s="62">
        <f>IF(AN202=12,K202,0)</f>
      </c>
      <c r="AL202" s="62">
        <f>IF(AN202=21,K202,0)</f>
      </c>
      <c r="AN202" s="62" t="n">
        <v>21</v>
      </c>
      <c r="AO202" s="62">
        <f>H202*0</f>
      </c>
      <c r="AP202" s="62">
        <f>H202*(1-0)</f>
      </c>
      <c r="AQ202" s="65" t="s">
        <v>59</v>
      </c>
      <c r="AV202" s="62">
        <f>ROUND(AW202+AX202,2)</f>
      </c>
      <c r="AW202" s="62">
        <f>ROUND(G202*AO202,2)</f>
      </c>
      <c r="AX202" s="62">
        <f>ROUND(G202*AP202,2)</f>
      </c>
      <c r="AY202" s="65" t="s">
        <v>441</v>
      </c>
      <c r="AZ202" s="65" t="s">
        <v>380</v>
      </c>
      <c r="BA202" s="35" t="s">
        <v>66</v>
      </c>
      <c r="BC202" s="62">
        <f>AW202+AX202</f>
      </c>
      <c r="BD202" s="62">
        <f>H202/(100-BE202)*100</f>
      </c>
      <c r="BE202" s="62" t="n">
        <v>0</v>
      </c>
      <c r="BF202" s="62">
        <f>N202</f>
      </c>
      <c r="BH202" s="62">
        <f>G202*AO202</f>
      </c>
      <c r="BI202" s="62">
        <f>G202*AP202</f>
      </c>
      <c r="BJ202" s="62">
        <f>G202*H202</f>
      </c>
      <c r="BK202" s="65" t="s">
        <v>67</v>
      </c>
      <c r="BL202" s="62" t="n">
        <v>96</v>
      </c>
      <c r="BW202" s="62" t="n">
        <v>21</v>
      </c>
      <c r="BX202" s="16" t="s">
        <v>440</v>
      </c>
    </row>
    <row r="203" customHeight="true" ht="13.5">
      <c r="A203" s="66"/>
      <c r="C203" s="67" t="s">
        <v>68</v>
      </c>
      <c r="D203" s="68" t="s">
        <v>442</v>
      </c>
      <c r="E203" s="69"/>
      <c r="F203" s="69"/>
      <c r="G203" s="69"/>
      <c r="H203" s="70"/>
      <c r="I203" s="69"/>
      <c r="J203" s="69"/>
      <c r="K203" s="69"/>
      <c r="L203" s="69"/>
      <c r="M203" s="69"/>
      <c r="N203" s="69"/>
      <c r="O203" s="71"/>
    </row>
    <row r="204">
      <c r="A204" s="66"/>
      <c r="D204" s="72" t="s">
        <v>443</v>
      </c>
      <c r="E204" s="73" t="s">
        <v>54</v>
      </c>
      <c r="G204" s="74" t="n">
        <v>0.11</v>
      </c>
      <c r="O204" s="75"/>
    </row>
    <row r="205">
      <c r="A205" s="10" t="s">
        <v>444</v>
      </c>
      <c r="B205" s="11" t="s">
        <v>55</v>
      </c>
      <c r="C205" s="11" t="s">
        <v>445</v>
      </c>
      <c r="D205" s="16" t="s">
        <v>446</v>
      </c>
      <c r="E205" s="11"/>
      <c r="F205" s="11" t="s">
        <v>62</v>
      </c>
      <c r="G205" s="62" t="n">
        <v>4.92</v>
      </c>
      <c r="H205" s="63" t="n">
        <v>0</v>
      </c>
      <c r="I205" s="62">
        <f>ROUND(G205*AO205,2)</f>
      </c>
      <c r="J205" s="62">
        <f>ROUND(G205*AP205,2)</f>
      </c>
      <c r="K205" s="62">
        <f>ROUND(G205*H205,2)</f>
      </c>
      <c r="L205" s="62" t="n">
        <v>0</v>
      </c>
      <c r="M205" s="62" t="n">
        <v>0.02</v>
      </c>
      <c r="N205" s="62">
        <f>G205*M205</f>
      </c>
      <c r="O205" s="64" t="s">
        <v>63</v>
      </c>
      <c r="Z205" s="62">
        <f>ROUND(IF(AQ205="5",BJ205,0),2)</f>
      </c>
      <c r="AB205" s="62">
        <f>ROUND(IF(AQ205="1",BH205,0),2)</f>
      </c>
      <c r="AC205" s="62">
        <f>ROUND(IF(AQ205="1",BI205,0),2)</f>
      </c>
      <c r="AD205" s="62">
        <f>ROUND(IF(AQ205="7",BH205,0),2)</f>
      </c>
      <c r="AE205" s="62">
        <f>ROUND(IF(AQ205="7",BI205,0),2)</f>
      </c>
      <c r="AF205" s="62">
        <f>ROUND(IF(AQ205="2",BH205,0),2)</f>
      </c>
      <c r="AG205" s="62">
        <f>ROUND(IF(AQ205="2",BI205,0),2)</f>
      </c>
      <c r="AH205" s="62">
        <f>ROUND(IF(AQ205="0",BJ205,0),2)</f>
      </c>
      <c r="AI205" s="35" t="s">
        <v>55</v>
      </c>
      <c r="AJ205" s="62">
        <f>IF(AN205=0,K205,0)</f>
      </c>
      <c r="AK205" s="62">
        <f>IF(AN205=12,K205,0)</f>
      </c>
      <c r="AL205" s="62">
        <f>IF(AN205=21,K205,0)</f>
      </c>
      <c r="AN205" s="62" t="n">
        <v>21</v>
      </c>
      <c r="AO205" s="62">
        <f>H205*0</f>
      </c>
      <c r="AP205" s="62">
        <f>H205*(1-0)</f>
      </c>
      <c r="AQ205" s="65" t="s">
        <v>59</v>
      </c>
      <c r="AV205" s="62">
        <f>ROUND(AW205+AX205,2)</f>
      </c>
      <c r="AW205" s="62">
        <f>ROUND(G205*AO205,2)</f>
      </c>
      <c r="AX205" s="62">
        <f>ROUND(G205*AP205,2)</f>
      </c>
      <c r="AY205" s="65" t="s">
        <v>441</v>
      </c>
      <c r="AZ205" s="65" t="s">
        <v>380</v>
      </c>
      <c r="BA205" s="35" t="s">
        <v>66</v>
      </c>
      <c r="BC205" s="62">
        <f>AW205+AX205</f>
      </c>
      <c r="BD205" s="62">
        <f>H205/(100-BE205)*100</f>
      </c>
      <c r="BE205" s="62" t="n">
        <v>0</v>
      </c>
      <c r="BF205" s="62">
        <f>N205</f>
      </c>
      <c r="BH205" s="62">
        <f>G205*AO205</f>
      </c>
      <c r="BI205" s="62">
        <f>G205*AP205</f>
      </c>
      <c r="BJ205" s="62">
        <f>G205*H205</f>
      </c>
      <c r="BK205" s="65" t="s">
        <v>67</v>
      </c>
      <c r="BL205" s="62" t="n">
        <v>96</v>
      </c>
      <c r="BW205" s="62" t="n">
        <v>21</v>
      </c>
      <c r="BX205" s="16" t="s">
        <v>446</v>
      </c>
    </row>
    <row r="206" customHeight="true" ht="13.5">
      <c r="A206" s="66"/>
      <c r="C206" s="67" t="s">
        <v>68</v>
      </c>
      <c r="D206" s="68" t="s">
        <v>447</v>
      </c>
      <c r="E206" s="69"/>
      <c r="F206" s="69"/>
      <c r="G206" s="69"/>
      <c r="H206" s="70"/>
      <c r="I206" s="69"/>
      <c r="J206" s="69"/>
      <c r="K206" s="69"/>
      <c r="L206" s="69"/>
      <c r="M206" s="69"/>
      <c r="N206" s="69"/>
      <c r="O206" s="71"/>
    </row>
    <row r="207">
      <c r="A207" s="66"/>
      <c r="D207" s="72" t="s">
        <v>448</v>
      </c>
      <c r="E207" s="73" t="s">
        <v>54</v>
      </c>
      <c r="G207" s="74" t="n">
        <v>3.18</v>
      </c>
      <c r="O207" s="75"/>
    </row>
    <row r="208">
      <c r="A208" s="66"/>
      <c r="D208" s="72" t="s">
        <v>449</v>
      </c>
      <c r="E208" s="73" t="s">
        <v>54</v>
      </c>
      <c r="G208" s="74" t="n">
        <v>1.74</v>
      </c>
      <c r="O208" s="75"/>
    </row>
    <row r="209">
      <c r="A209" s="10" t="s">
        <v>450</v>
      </c>
      <c r="B209" s="11" t="s">
        <v>55</v>
      </c>
      <c r="C209" s="11" t="s">
        <v>451</v>
      </c>
      <c r="D209" s="16" t="s">
        <v>452</v>
      </c>
      <c r="E209" s="11"/>
      <c r="F209" s="11" t="s">
        <v>114</v>
      </c>
      <c r="G209" s="62" t="n">
        <v>16.7</v>
      </c>
      <c r="H209" s="63" t="n">
        <v>0</v>
      </c>
      <c r="I209" s="62">
        <f>ROUND(G209*AO209,2)</f>
      </c>
      <c r="J209" s="62">
        <f>ROUND(G209*AP209,2)</f>
      </c>
      <c r="K209" s="62">
        <f>ROUND(G209*H209,2)</f>
      </c>
      <c r="L209" s="62" t="n">
        <v>0</v>
      </c>
      <c r="M209" s="62" t="n">
        <v>0.082</v>
      </c>
      <c r="N209" s="62">
        <f>G209*M209</f>
      </c>
      <c r="O209" s="64" t="s">
        <v>63</v>
      </c>
      <c r="Z209" s="62">
        <f>ROUND(IF(AQ209="5",BJ209,0),2)</f>
      </c>
      <c r="AB209" s="62">
        <f>ROUND(IF(AQ209="1",BH209,0),2)</f>
      </c>
      <c r="AC209" s="62">
        <f>ROUND(IF(AQ209="1",BI209,0),2)</f>
      </c>
      <c r="AD209" s="62">
        <f>ROUND(IF(AQ209="7",BH209,0),2)</f>
      </c>
      <c r="AE209" s="62">
        <f>ROUND(IF(AQ209="7",BI209,0),2)</f>
      </c>
      <c r="AF209" s="62">
        <f>ROUND(IF(AQ209="2",BH209,0),2)</f>
      </c>
      <c r="AG209" s="62">
        <f>ROUND(IF(AQ209="2",BI209,0),2)</f>
      </c>
      <c r="AH209" s="62">
        <f>ROUND(IF(AQ209="0",BJ209,0),2)</f>
      </c>
      <c r="AI209" s="35" t="s">
        <v>55</v>
      </c>
      <c r="AJ209" s="62">
        <f>IF(AN209=0,K209,0)</f>
      </c>
      <c r="AK209" s="62">
        <f>IF(AN209=12,K209,0)</f>
      </c>
      <c r="AL209" s="62">
        <f>IF(AN209=21,K209,0)</f>
      </c>
      <c r="AN209" s="62" t="n">
        <v>21</v>
      </c>
      <c r="AO209" s="62">
        <f>H209*0</f>
      </c>
      <c r="AP209" s="62">
        <f>H209*(1-0)</f>
      </c>
      <c r="AQ209" s="65" t="s">
        <v>59</v>
      </c>
      <c r="AV209" s="62">
        <f>ROUND(AW209+AX209,2)</f>
      </c>
      <c r="AW209" s="62">
        <f>ROUND(G209*AO209,2)</f>
      </c>
      <c r="AX209" s="62">
        <f>ROUND(G209*AP209,2)</f>
      </c>
      <c r="AY209" s="65" t="s">
        <v>441</v>
      </c>
      <c r="AZ209" s="65" t="s">
        <v>380</v>
      </c>
      <c r="BA209" s="35" t="s">
        <v>66</v>
      </c>
      <c r="BC209" s="62">
        <f>AW209+AX209</f>
      </c>
      <c r="BD209" s="62">
        <f>H209/(100-BE209)*100</f>
      </c>
      <c r="BE209" s="62" t="n">
        <v>0</v>
      </c>
      <c r="BF209" s="62">
        <f>N209</f>
      </c>
      <c r="BH209" s="62">
        <f>G209*AO209</f>
      </c>
      <c r="BI209" s="62">
        <f>G209*AP209</f>
      </c>
      <c r="BJ209" s="62">
        <f>G209*H209</f>
      </c>
      <c r="BK209" s="65" t="s">
        <v>67</v>
      </c>
      <c r="BL209" s="62" t="n">
        <v>96</v>
      </c>
      <c r="BW209" s="62" t="n">
        <v>21</v>
      </c>
      <c r="BX209" s="16" t="s">
        <v>452</v>
      </c>
    </row>
    <row r="210" customHeight="true" ht="13.5">
      <c r="A210" s="66"/>
      <c r="C210" s="67" t="s">
        <v>68</v>
      </c>
      <c r="D210" s="68" t="s">
        <v>453</v>
      </c>
      <c r="E210" s="69"/>
      <c r="F210" s="69"/>
      <c r="G210" s="69"/>
      <c r="H210" s="70"/>
      <c r="I210" s="69"/>
      <c r="J210" s="69"/>
      <c r="K210" s="69"/>
      <c r="L210" s="69"/>
      <c r="M210" s="69"/>
      <c r="N210" s="69"/>
      <c r="O210" s="71"/>
    </row>
    <row r="211">
      <c r="A211" s="66"/>
      <c r="D211" s="72" t="s">
        <v>454</v>
      </c>
      <c r="E211" s="73" t="s">
        <v>54</v>
      </c>
      <c r="G211" s="74" t="n">
        <v>16.7</v>
      </c>
      <c r="O211" s="75"/>
    </row>
    <row r="212">
      <c r="A212" s="10" t="s">
        <v>455</v>
      </c>
      <c r="B212" s="11" t="s">
        <v>55</v>
      </c>
      <c r="C212" s="11" t="s">
        <v>456</v>
      </c>
      <c r="D212" s="16" t="s">
        <v>457</v>
      </c>
      <c r="E212" s="11"/>
      <c r="F212" s="11" t="s">
        <v>114</v>
      </c>
      <c r="G212" s="62" t="n">
        <v>87.48</v>
      </c>
      <c r="H212" s="63" t="n">
        <v>0</v>
      </c>
      <c r="I212" s="62">
        <f>ROUND(G212*AO212,2)</f>
      </c>
      <c r="J212" s="62">
        <f>ROUND(G212*AP212,2)</f>
      </c>
      <c r="K212" s="62">
        <f>ROUND(G212*H212,2)</f>
      </c>
      <c r="L212" s="62" t="n">
        <v>0</v>
      </c>
      <c r="M212" s="62" t="n">
        <v>0.011</v>
      </c>
      <c r="N212" s="62">
        <f>G212*M212</f>
      </c>
      <c r="O212" s="64" t="s">
        <v>63</v>
      </c>
      <c r="Z212" s="62">
        <f>ROUND(IF(AQ212="5",BJ212,0),2)</f>
      </c>
      <c r="AB212" s="62">
        <f>ROUND(IF(AQ212="1",BH212,0),2)</f>
      </c>
      <c r="AC212" s="62">
        <f>ROUND(IF(AQ212="1",BI212,0),2)</f>
      </c>
      <c r="AD212" s="62">
        <f>ROUND(IF(AQ212="7",BH212,0),2)</f>
      </c>
      <c r="AE212" s="62">
        <f>ROUND(IF(AQ212="7",BI212,0),2)</f>
      </c>
      <c r="AF212" s="62">
        <f>ROUND(IF(AQ212="2",BH212,0),2)</f>
      </c>
      <c r="AG212" s="62">
        <f>ROUND(IF(AQ212="2",BI212,0),2)</f>
      </c>
      <c r="AH212" s="62">
        <f>ROUND(IF(AQ212="0",BJ212,0),2)</f>
      </c>
      <c r="AI212" s="35" t="s">
        <v>55</v>
      </c>
      <c r="AJ212" s="62">
        <f>IF(AN212=0,K212,0)</f>
      </c>
      <c r="AK212" s="62">
        <f>IF(AN212=12,K212,0)</f>
      </c>
      <c r="AL212" s="62">
        <f>IF(AN212=21,K212,0)</f>
      </c>
      <c r="AN212" s="62" t="n">
        <v>21</v>
      </c>
      <c r="AO212" s="62">
        <f>H212*0</f>
      </c>
      <c r="AP212" s="62">
        <f>H212*(1-0)</f>
      </c>
      <c r="AQ212" s="65" t="s">
        <v>59</v>
      </c>
      <c r="AV212" s="62">
        <f>ROUND(AW212+AX212,2)</f>
      </c>
      <c r="AW212" s="62">
        <f>ROUND(G212*AO212,2)</f>
      </c>
      <c r="AX212" s="62">
        <f>ROUND(G212*AP212,2)</f>
      </c>
      <c r="AY212" s="65" t="s">
        <v>441</v>
      </c>
      <c r="AZ212" s="65" t="s">
        <v>380</v>
      </c>
      <c r="BA212" s="35" t="s">
        <v>66</v>
      </c>
      <c r="BC212" s="62">
        <f>AW212+AX212</f>
      </c>
      <c r="BD212" s="62">
        <f>H212/(100-BE212)*100</f>
      </c>
      <c r="BE212" s="62" t="n">
        <v>0</v>
      </c>
      <c r="BF212" s="62">
        <f>N212</f>
      </c>
      <c r="BH212" s="62">
        <f>G212*AO212</f>
      </c>
      <c r="BI212" s="62">
        <f>G212*AP212</f>
      </c>
      <c r="BJ212" s="62">
        <f>G212*H212</f>
      </c>
      <c r="BK212" s="65" t="s">
        <v>67</v>
      </c>
      <c r="BL212" s="62" t="n">
        <v>96</v>
      </c>
      <c r="BW212" s="62" t="n">
        <v>21</v>
      </c>
      <c r="BX212" s="16" t="s">
        <v>457</v>
      </c>
    </row>
    <row r="213">
      <c r="A213" s="66"/>
      <c r="D213" s="72" t="s">
        <v>458</v>
      </c>
      <c r="E213" s="73" t="s">
        <v>54</v>
      </c>
      <c r="G213" s="74" t="n">
        <v>87.48</v>
      </c>
      <c r="O213" s="75"/>
    </row>
    <row r="214">
      <c r="A214" s="10" t="s">
        <v>459</v>
      </c>
      <c r="B214" s="11" t="s">
        <v>55</v>
      </c>
      <c r="C214" s="11" t="s">
        <v>460</v>
      </c>
      <c r="D214" s="16" t="s">
        <v>461</v>
      </c>
      <c r="E214" s="11"/>
      <c r="F214" s="11" t="s">
        <v>103</v>
      </c>
      <c r="G214" s="62" t="n">
        <v>2</v>
      </c>
      <c r="H214" s="63" t="n">
        <v>0</v>
      </c>
      <c r="I214" s="62">
        <f>ROUND(G214*AO214,2)</f>
      </c>
      <c r="J214" s="62">
        <f>ROUND(G214*AP214,2)</f>
      </c>
      <c r="K214" s="62">
        <f>ROUND(G214*H214,2)</f>
      </c>
      <c r="L214" s="62" t="n">
        <v>0</v>
      </c>
      <c r="M214" s="62" t="n">
        <v>0</v>
      </c>
      <c r="N214" s="62">
        <f>G214*M214</f>
      </c>
      <c r="O214" s="64" t="s">
        <v>63</v>
      </c>
      <c r="Z214" s="62">
        <f>ROUND(IF(AQ214="5",BJ214,0),2)</f>
      </c>
      <c r="AB214" s="62">
        <f>ROUND(IF(AQ214="1",BH214,0),2)</f>
      </c>
      <c r="AC214" s="62">
        <f>ROUND(IF(AQ214="1",BI214,0),2)</f>
      </c>
      <c r="AD214" s="62">
        <f>ROUND(IF(AQ214="7",BH214,0),2)</f>
      </c>
      <c r="AE214" s="62">
        <f>ROUND(IF(AQ214="7",BI214,0),2)</f>
      </c>
      <c r="AF214" s="62">
        <f>ROUND(IF(AQ214="2",BH214,0),2)</f>
      </c>
      <c r="AG214" s="62">
        <f>ROUND(IF(AQ214="2",BI214,0),2)</f>
      </c>
      <c r="AH214" s="62">
        <f>ROUND(IF(AQ214="0",BJ214,0),2)</f>
      </c>
      <c r="AI214" s="35" t="s">
        <v>55</v>
      </c>
      <c r="AJ214" s="62">
        <f>IF(AN214=0,K214,0)</f>
      </c>
      <c r="AK214" s="62">
        <f>IF(AN214=12,K214,0)</f>
      </c>
      <c r="AL214" s="62">
        <f>IF(AN214=21,K214,0)</f>
      </c>
      <c r="AN214" s="62" t="n">
        <v>21</v>
      </c>
      <c r="AO214" s="62">
        <f>H214*0</f>
      </c>
      <c r="AP214" s="62">
        <f>H214*(1-0)</f>
      </c>
      <c r="AQ214" s="65" t="s">
        <v>59</v>
      </c>
      <c r="AV214" s="62">
        <f>ROUND(AW214+AX214,2)</f>
      </c>
      <c r="AW214" s="62">
        <f>ROUND(G214*AO214,2)</f>
      </c>
      <c r="AX214" s="62">
        <f>ROUND(G214*AP214,2)</f>
      </c>
      <c r="AY214" s="65" t="s">
        <v>441</v>
      </c>
      <c r="AZ214" s="65" t="s">
        <v>380</v>
      </c>
      <c r="BA214" s="35" t="s">
        <v>66</v>
      </c>
      <c r="BC214" s="62">
        <f>AW214+AX214</f>
      </c>
      <c r="BD214" s="62">
        <f>H214/(100-BE214)*100</f>
      </c>
      <c r="BE214" s="62" t="n">
        <v>0</v>
      </c>
      <c r="BF214" s="62">
        <f>N214</f>
      </c>
      <c r="BH214" s="62">
        <f>G214*AO214</f>
      </c>
      <c r="BI214" s="62">
        <f>G214*AP214</f>
      </c>
      <c r="BJ214" s="62">
        <f>G214*H214</f>
      </c>
      <c r="BK214" s="65" t="s">
        <v>67</v>
      </c>
      <c r="BL214" s="62" t="n">
        <v>96</v>
      </c>
      <c r="BW214" s="62" t="n">
        <v>21</v>
      </c>
      <c r="BX214" s="16" t="s">
        <v>461</v>
      </c>
    </row>
    <row r="215">
      <c r="A215" s="10" t="s">
        <v>462</v>
      </c>
      <c r="B215" s="11" t="s">
        <v>55</v>
      </c>
      <c r="C215" s="11" t="s">
        <v>463</v>
      </c>
      <c r="D215" s="16" t="s">
        <v>464</v>
      </c>
      <c r="E215" s="11"/>
      <c r="F215" s="11" t="s">
        <v>62</v>
      </c>
      <c r="G215" s="62" t="n">
        <v>4.93</v>
      </c>
      <c r="H215" s="63" t="n">
        <v>0</v>
      </c>
      <c r="I215" s="62">
        <f>ROUND(G215*AO215,2)</f>
      </c>
      <c r="J215" s="62">
        <f>ROUND(G215*AP215,2)</f>
      </c>
      <c r="K215" s="62">
        <f>ROUND(G215*H215,2)</f>
      </c>
      <c r="L215" s="62" t="n">
        <v>0.00092</v>
      </c>
      <c r="M215" s="62" t="n">
        <v>0.02792</v>
      </c>
      <c r="N215" s="62">
        <f>G215*M215</f>
      </c>
      <c r="O215" s="64" t="s">
        <v>63</v>
      </c>
      <c r="Z215" s="62">
        <f>ROUND(IF(AQ215="5",BJ215,0),2)</f>
      </c>
      <c r="AB215" s="62">
        <f>ROUND(IF(AQ215="1",BH215,0),2)</f>
      </c>
      <c r="AC215" s="62">
        <f>ROUND(IF(AQ215="1",BI215,0),2)</f>
      </c>
      <c r="AD215" s="62">
        <f>ROUND(IF(AQ215="7",BH215,0),2)</f>
      </c>
      <c r="AE215" s="62">
        <f>ROUND(IF(AQ215="7",BI215,0),2)</f>
      </c>
      <c r="AF215" s="62">
        <f>ROUND(IF(AQ215="2",BH215,0),2)</f>
      </c>
      <c r="AG215" s="62">
        <f>ROUND(IF(AQ215="2",BI215,0),2)</f>
      </c>
      <c r="AH215" s="62">
        <f>ROUND(IF(AQ215="0",BJ215,0),2)</f>
      </c>
      <c r="AI215" s="35" t="s">
        <v>55</v>
      </c>
      <c r="AJ215" s="62">
        <f>IF(AN215=0,K215,0)</f>
      </c>
      <c r="AK215" s="62">
        <f>IF(AN215=12,K215,0)</f>
      </c>
      <c r="AL215" s="62">
        <f>IF(AN215=21,K215,0)</f>
      </c>
      <c r="AN215" s="62" t="n">
        <v>21</v>
      </c>
      <c r="AO215" s="62">
        <f>H215*0.151373526</f>
      </c>
      <c r="AP215" s="62">
        <f>H215*(1-0.151373526)</f>
      </c>
      <c r="AQ215" s="65" t="s">
        <v>59</v>
      </c>
      <c r="AV215" s="62">
        <f>ROUND(AW215+AX215,2)</f>
      </c>
      <c r="AW215" s="62">
        <f>ROUND(G215*AO215,2)</f>
      </c>
      <c r="AX215" s="62">
        <f>ROUND(G215*AP215,2)</f>
      </c>
      <c r="AY215" s="65" t="s">
        <v>441</v>
      </c>
      <c r="AZ215" s="65" t="s">
        <v>380</v>
      </c>
      <c r="BA215" s="35" t="s">
        <v>66</v>
      </c>
      <c r="BC215" s="62">
        <f>AW215+AX215</f>
      </c>
      <c r="BD215" s="62">
        <f>H215/(100-BE215)*100</f>
      </c>
      <c r="BE215" s="62" t="n">
        <v>0</v>
      </c>
      <c r="BF215" s="62">
        <f>N215</f>
      </c>
      <c r="BH215" s="62">
        <f>G215*AO215</f>
      </c>
      <c r="BI215" s="62">
        <f>G215*AP215</f>
      </c>
      <c r="BJ215" s="62">
        <f>G215*H215</f>
      </c>
      <c r="BK215" s="65" t="s">
        <v>67</v>
      </c>
      <c r="BL215" s="62" t="n">
        <v>96</v>
      </c>
      <c r="BW215" s="62" t="n">
        <v>21</v>
      </c>
      <c r="BX215" s="16" t="s">
        <v>464</v>
      </c>
    </row>
    <row r="216" customHeight="true" ht="13.5">
      <c r="A216" s="66"/>
      <c r="C216" s="67" t="s">
        <v>68</v>
      </c>
      <c r="D216" s="68" t="s">
        <v>235</v>
      </c>
      <c r="E216" s="69"/>
      <c r="F216" s="69"/>
      <c r="G216" s="69"/>
      <c r="H216" s="70"/>
      <c r="I216" s="69"/>
      <c r="J216" s="69"/>
      <c r="K216" s="69"/>
      <c r="L216" s="69"/>
      <c r="M216" s="69"/>
      <c r="N216" s="69"/>
      <c r="O216" s="71"/>
    </row>
    <row r="217">
      <c r="A217" s="66"/>
      <c r="D217" s="72" t="s">
        <v>465</v>
      </c>
      <c r="E217" s="73" t="s">
        <v>54</v>
      </c>
      <c r="G217" s="74" t="n">
        <v>4.93</v>
      </c>
      <c r="O217" s="75"/>
    </row>
    <row r="218">
      <c r="A218" s="10" t="s">
        <v>466</v>
      </c>
      <c r="B218" s="11" t="s">
        <v>55</v>
      </c>
      <c r="C218" s="11" t="s">
        <v>467</v>
      </c>
      <c r="D218" s="16" t="s">
        <v>468</v>
      </c>
      <c r="E218" s="11"/>
      <c r="F218" s="11" t="s">
        <v>62</v>
      </c>
      <c r="G218" s="62" t="n">
        <v>6.2</v>
      </c>
      <c r="H218" s="63" t="n">
        <v>0</v>
      </c>
      <c r="I218" s="62">
        <f>ROUND(G218*AO218,2)</f>
      </c>
      <c r="J218" s="62">
        <f>ROUND(G218*AP218,2)</f>
      </c>
      <c r="K218" s="62">
        <f>ROUND(G218*H218,2)</f>
      </c>
      <c r="L218" s="62" t="n">
        <v>0.001</v>
      </c>
      <c r="M218" s="62" t="n">
        <v>0.068</v>
      </c>
      <c r="N218" s="62">
        <f>G218*M218</f>
      </c>
      <c r="O218" s="64" t="s">
        <v>63</v>
      </c>
      <c r="Z218" s="62">
        <f>ROUND(IF(AQ218="5",BJ218,0),2)</f>
      </c>
      <c r="AB218" s="62">
        <f>ROUND(IF(AQ218="1",BH218,0),2)</f>
      </c>
      <c r="AC218" s="62">
        <f>ROUND(IF(AQ218="1",BI218,0),2)</f>
      </c>
      <c r="AD218" s="62">
        <f>ROUND(IF(AQ218="7",BH218,0),2)</f>
      </c>
      <c r="AE218" s="62">
        <f>ROUND(IF(AQ218="7",BI218,0),2)</f>
      </c>
      <c r="AF218" s="62">
        <f>ROUND(IF(AQ218="2",BH218,0),2)</f>
      </c>
      <c r="AG218" s="62">
        <f>ROUND(IF(AQ218="2",BI218,0),2)</f>
      </c>
      <c r="AH218" s="62">
        <f>ROUND(IF(AQ218="0",BJ218,0),2)</f>
      </c>
      <c r="AI218" s="35" t="s">
        <v>55</v>
      </c>
      <c r="AJ218" s="62">
        <f>IF(AN218=0,K218,0)</f>
      </c>
      <c r="AK218" s="62">
        <f>IF(AN218=12,K218,0)</f>
      </c>
      <c r="AL218" s="62">
        <f>IF(AN218=21,K218,0)</f>
      </c>
      <c r="AN218" s="62" t="n">
        <v>21</v>
      </c>
      <c r="AO218" s="62">
        <f>H218*0.088511578</f>
      </c>
      <c r="AP218" s="62">
        <f>H218*(1-0.088511578)</f>
      </c>
      <c r="AQ218" s="65" t="s">
        <v>59</v>
      </c>
      <c r="AV218" s="62">
        <f>ROUND(AW218+AX218,2)</f>
      </c>
      <c r="AW218" s="62">
        <f>ROUND(G218*AO218,2)</f>
      </c>
      <c r="AX218" s="62">
        <f>ROUND(G218*AP218,2)</f>
      </c>
      <c r="AY218" s="65" t="s">
        <v>441</v>
      </c>
      <c r="AZ218" s="65" t="s">
        <v>380</v>
      </c>
      <c r="BA218" s="35" t="s">
        <v>66</v>
      </c>
      <c r="BC218" s="62">
        <f>AW218+AX218</f>
      </c>
      <c r="BD218" s="62">
        <f>H218/(100-BE218)*100</f>
      </c>
      <c r="BE218" s="62" t="n">
        <v>0</v>
      </c>
      <c r="BF218" s="62">
        <f>N218</f>
      </c>
      <c r="BH218" s="62">
        <f>G218*AO218</f>
      </c>
      <c r="BI218" s="62">
        <f>G218*AP218</f>
      </c>
      <c r="BJ218" s="62">
        <f>G218*H218</f>
      </c>
      <c r="BK218" s="65" t="s">
        <v>67</v>
      </c>
      <c r="BL218" s="62" t="n">
        <v>96</v>
      </c>
      <c r="BW218" s="62" t="n">
        <v>21</v>
      </c>
      <c r="BX218" s="16" t="s">
        <v>468</v>
      </c>
    </row>
    <row r="219" customHeight="true" ht="13.5">
      <c r="A219" s="66"/>
      <c r="C219" s="67" t="s">
        <v>68</v>
      </c>
      <c r="D219" s="68" t="s">
        <v>469</v>
      </c>
      <c r="E219" s="69"/>
      <c r="F219" s="69"/>
      <c r="G219" s="69"/>
      <c r="H219" s="70"/>
      <c r="I219" s="69"/>
      <c r="J219" s="69"/>
      <c r="K219" s="69"/>
      <c r="L219" s="69"/>
      <c r="M219" s="69"/>
      <c r="N219" s="69"/>
      <c r="O219" s="71"/>
    </row>
    <row r="220">
      <c r="A220" s="56" t="s">
        <v>54</v>
      </c>
      <c r="B220" s="57" t="s">
        <v>55</v>
      </c>
      <c r="C220" s="57" t="s">
        <v>470</v>
      </c>
      <c r="D220" s="58" t="s">
        <v>471</v>
      </c>
      <c r="E220" s="57"/>
      <c r="F220" s="59" t="s">
        <v>4</v>
      </c>
      <c r="G220" s="59" t="s">
        <v>4</v>
      </c>
      <c r="H220" s="60" t="s">
        <v>4</v>
      </c>
      <c r="I220" s="2">
        <f>SUM(I221:I238)</f>
      </c>
      <c r="J220" s="2">
        <f>SUM(J221:J238)</f>
      </c>
      <c r="K220" s="2">
        <f>SUM(K221:K238)</f>
      </c>
      <c r="L220" s="35" t="s">
        <v>54</v>
      </c>
      <c r="M220" s="35" t="s">
        <v>54</v>
      </c>
      <c r="N220" s="2">
        <f>SUM(N221:N238)</f>
      </c>
      <c r="O220" s="61" t="s">
        <v>54</v>
      </c>
      <c r="AI220" s="35" t="s">
        <v>55</v>
      </c>
      <c r="AS220" s="2">
        <f>SUM(AJ221:AJ238)</f>
      </c>
      <c r="AT220" s="2">
        <f>SUM(AK221:AK238)</f>
      </c>
      <c r="AU220" s="2">
        <f>SUM(AL221:AL238)</f>
      </c>
    </row>
    <row r="221">
      <c r="A221" s="10" t="s">
        <v>472</v>
      </c>
      <c r="B221" s="11" t="s">
        <v>55</v>
      </c>
      <c r="C221" s="11" t="s">
        <v>473</v>
      </c>
      <c r="D221" s="16" t="s">
        <v>474</v>
      </c>
      <c r="E221" s="11"/>
      <c r="F221" s="11" t="s">
        <v>103</v>
      </c>
      <c r="G221" s="62" t="n">
        <v>3</v>
      </c>
      <c r="H221" s="63" t="n">
        <v>0</v>
      </c>
      <c r="I221" s="62">
        <f>ROUND(G221*AO221,2)</f>
      </c>
      <c r="J221" s="62">
        <f>ROUND(G221*AP221,2)</f>
      </c>
      <c r="K221" s="62">
        <f>ROUND(G221*H221,2)</f>
      </c>
      <c r="L221" s="62" t="n">
        <v>0</v>
      </c>
      <c r="M221" s="62" t="n">
        <v>0</v>
      </c>
      <c r="N221" s="62">
        <f>G221*M221</f>
      </c>
      <c r="O221" s="64" t="s">
        <v>475</v>
      </c>
      <c r="Z221" s="62">
        <f>ROUND(IF(AQ221="5",BJ221,0),2)</f>
      </c>
      <c r="AB221" s="62">
        <f>ROUND(IF(AQ221="1",BH221,0),2)</f>
      </c>
      <c r="AC221" s="62">
        <f>ROUND(IF(AQ221="1",BI221,0),2)</f>
      </c>
      <c r="AD221" s="62">
        <f>ROUND(IF(AQ221="7",BH221,0),2)</f>
      </c>
      <c r="AE221" s="62">
        <f>ROUND(IF(AQ221="7",BI221,0),2)</f>
      </c>
      <c r="AF221" s="62">
        <f>ROUND(IF(AQ221="2",BH221,0),2)</f>
      </c>
      <c r="AG221" s="62">
        <f>ROUND(IF(AQ221="2",BI221,0),2)</f>
      </c>
      <c r="AH221" s="62">
        <f>ROUND(IF(AQ221="0",BJ221,0),2)</f>
      </c>
      <c r="AI221" s="35" t="s">
        <v>55</v>
      </c>
      <c r="AJ221" s="62">
        <f>IF(AN221=0,K221,0)</f>
      </c>
      <c r="AK221" s="62">
        <f>IF(AN221=12,K221,0)</f>
      </c>
      <c r="AL221" s="62">
        <f>IF(AN221=21,K221,0)</f>
      </c>
      <c r="AN221" s="62" t="n">
        <v>21</v>
      </c>
      <c r="AO221" s="62">
        <f>H221*0</f>
      </c>
      <c r="AP221" s="62">
        <f>H221*(1-0)</f>
      </c>
      <c r="AQ221" s="65" t="s">
        <v>59</v>
      </c>
      <c r="AV221" s="62">
        <f>ROUND(AW221+AX221,2)</f>
      </c>
      <c r="AW221" s="62">
        <f>ROUND(G221*AO221,2)</f>
      </c>
      <c r="AX221" s="62">
        <f>ROUND(G221*AP221,2)</f>
      </c>
      <c r="AY221" s="65" t="s">
        <v>476</v>
      </c>
      <c r="AZ221" s="65" t="s">
        <v>380</v>
      </c>
      <c r="BA221" s="35" t="s">
        <v>66</v>
      </c>
      <c r="BC221" s="62">
        <f>AW221+AX221</f>
      </c>
      <c r="BD221" s="62">
        <f>H221/(100-BE221)*100</f>
      </c>
      <c r="BE221" s="62" t="n">
        <v>0</v>
      </c>
      <c r="BF221" s="62">
        <f>N221</f>
      </c>
      <c r="BH221" s="62">
        <f>G221*AO221</f>
      </c>
      <c r="BI221" s="62">
        <f>G221*AP221</f>
      </c>
      <c r="BJ221" s="62">
        <f>G221*H221</f>
      </c>
      <c r="BK221" s="65" t="s">
        <v>67</v>
      </c>
      <c r="BL221" s="62" t="n">
        <v>97</v>
      </c>
      <c r="BW221" s="62" t="n">
        <v>21</v>
      </c>
      <c r="BX221" s="16" t="s">
        <v>474</v>
      </c>
    </row>
    <row r="222" customHeight="true" ht="13.5">
      <c r="A222" s="66"/>
      <c r="C222" s="67" t="s">
        <v>68</v>
      </c>
      <c r="D222" s="68" t="s">
        <v>477</v>
      </c>
      <c r="E222" s="69"/>
      <c r="F222" s="69"/>
      <c r="G222" s="69"/>
      <c r="H222" s="70"/>
      <c r="I222" s="69"/>
      <c r="J222" s="69"/>
      <c r="K222" s="69"/>
      <c r="L222" s="69"/>
      <c r="M222" s="69"/>
      <c r="N222" s="69"/>
      <c r="O222" s="71"/>
    </row>
    <row r="223">
      <c r="A223" s="10" t="s">
        <v>349</v>
      </c>
      <c r="B223" s="11" t="s">
        <v>55</v>
      </c>
      <c r="C223" s="11" t="s">
        <v>478</v>
      </c>
      <c r="D223" s="16" t="s">
        <v>479</v>
      </c>
      <c r="E223" s="11"/>
      <c r="F223" s="11" t="s">
        <v>114</v>
      </c>
      <c r="G223" s="62" t="n">
        <v>9</v>
      </c>
      <c r="H223" s="63" t="n">
        <v>0</v>
      </c>
      <c r="I223" s="62">
        <f>ROUND(G223*AO223,2)</f>
      </c>
      <c r="J223" s="62">
        <f>ROUND(G223*AP223,2)</f>
      </c>
      <c r="K223" s="62">
        <f>ROUND(G223*H223,2)</f>
      </c>
      <c r="L223" s="62" t="n">
        <v>0.00049</v>
      </c>
      <c r="M223" s="62" t="n">
        <v>0.05449</v>
      </c>
      <c r="N223" s="62">
        <f>G223*M223</f>
      </c>
      <c r="O223" s="64" t="s">
        <v>63</v>
      </c>
      <c r="Z223" s="62">
        <f>ROUND(IF(AQ223="5",BJ223,0),2)</f>
      </c>
      <c r="AB223" s="62">
        <f>ROUND(IF(AQ223="1",BH223,0),2)</f>
      </c>
      <c r="AC223" s="62">
        <f>ROUND(IF(AQ223="1",BI223,0),2)</f>
      </c>
      <c r="AD223" s="62">
        <f>ROUND(IF(AQ223="7",BH223,0),2)</f>
      </c>
      <c r="AE223" s="62">
        <f>ROUND(IF(AQ223="7",BI223,0),2)</f>
      </c>
      <c r="AF223" s="62">
        <f>ROUND(IF(AQ223="2",BH223,0),2)</f>
      </c>
      <c r="AG223" s="62">
        <f>ROUND(IF(AQ223="2",BI223,0),2)</f>
      </c>
      <c r="AH223" s="62">
        <f>ROUND(IF(AQ223="0",BJ223,0),2)</f>
      </c>
      <c r="AI223" s="35" t="s">
        <v>55</v>
      </c>
      <c r="AJ223" s="62">
        <f>IF(AN223=0,K223,0)</f>
      </c>
      <c r="AK223" s="62">
        <f>IF(AN223=12,K223,0)</f>
      </c>
      <c r="AL223" s="62">
        <f>IF(AN223=21,K223,0)</f>
      </c>
      <c r="AN223" s="62" t="n">
        <v>21</v>
      </c>
      <c r="AO223" s="62">
        <f>H223*0.036842105</f>
      </c>
      <c r="AP223" s="62">
        <f>H223*(1-0.036842105)</f>
      </c>
      <c r="AQ223" s="65" t="s">
        <v>59</v>
      </c>
      <c r="AV223" s="62">
        <f>ROUND(AW223+AX223,2)</f>
      </c>
      <c r="AW223" s="62">
        <f>ROUND(G223*AO223,2)</f>
      </c>
      <c r="AX223" s="62">
        <f>ROUND(G223*AP223,2)</f>
      </c>
      <c r="AY223" s="65" t="s">
        <v>476</v>
      </c>
      <c r="AZ223" s="65" t="s">
        <v>380</v>
      </c>
      <c r="BA223" s="35" t="s">
        <v>66</v>
      </c>
      <c r="BC223" s="62">
        <f>AW223+AX223</f>
      </c>
      <c r="BD223" s="62">
        <f>H223/(100-BE223)*100</f>
      </c>
      <c r="BE223" s="62" t="n">
        <v>0</v>
      </c>
      <c r="BF223" s="62">
        <f>N223</f>
      </c>
      <c r="BH223" s="62">
        <f>G223*AO223</f>
      </c>
      <c r="BI223" s="62">
        <f>G223*AP223</f>
      </c>
      <c r="BJ223" s="62">
        <f>G223*H223</f>
      </c>
      <c r="BK223" s="65" t="s">
        <v>67</v>
      </c>
      <c r="BL223" s="62" t="n">
        <v>97</v>
      </c>
      <c r="BW223" s="62" t="n">
        <v>21</v>
      </c>
      <c r="BX223" s="16" t="s">
        <v>479</v>
      </c>
    </row>
    <row r="224" customHeight="true" ht="13.5">
      <c r="A224" s="66"/>
      <c r="C224" s="67" t="s">
        <v>68</v>
      </c>
      <c r="D224" s="68" t="s">
        <v>480</v>
      </c>
      <c r="E224" s="69"/>
      <c r="F224" s="69"/>
      <c r="G224" s="69"/>
      <c r="H224" s="70"/>
      <c r="I224" s="69"/>
      <c r="J224" s="69"/>
      <c r="K224" s="69"/>
      <c r="L224" s="69"/>
      <c r="M224" s="69"/>
      <c r="N224" s="69"/>
      <c r="O224" s="71"/>
    </row>
    <row r="225">
      <c r="A225" s="66"/>
      <c r="D225" s="72" t="s">
        <v>116</v>
      </c>
      <c r="E225" s="73" t="s">
        <v>54</v>
      </c>
      <c r="G225" s="74" t="n">
        <v>9</v>
      </c>
      <c r="O225" s="75"/>
    </row>
    <row r="226">
      <c r="A226" s="10" t="s">
        <v>481</v>
      </c>
      <c r="B226" s="11" t="s">
        <v>55</v>
      </c>
      <c r="C226" s="11" t="s">
        <v>482</v>
      </c>
      <c r="D226" s="16" t="s">
        <v>483</v>
      </c>
      <c r="E226" s="11"/>
      <c r="F226" s="11" t="s">
        <v>103</v>
      </c>
      <c r="G226" s="62" t="n">
        <v>30</v>
      </c>
      <c r="H226" s="63" t="n">
        <v>0</v>
      </c>
      <c r="I226" s="62">
        <f>ROUND(G226*AO226,2)</f>
      </c>
      <c r="J226" s="62">
        <f>ROUND(G226*AP226,2)</f>
      </c>
      <c r="K226" s="62">
        <f>ROUND(G226*H226,2)</f>
      </c>
      <c r="L226" s="62" t="n">
        <v>0</v>
      </c>
      <c r="M226" s="62" t="n">
        <v>0.007</v>
      </c>
      <c r="N226" s="62">
        <f>G226*M226</f>
      </c>
      <c r="O226" s="64" t="s">
        <v>63</v>
      </c>
      <c r="Z226" s="62">
        <f>ROUND(IF(AQ226="5",BJ226,0),2)</f>
      </c>
      <c r="AB226" s="62">
        <f>ROUND(IF(AQ226="1",BH226,0),2)</f>
      </c>
      <c r="AC226" s="62">
        <f>ROUND(IF(AQ226="1",BI226,0),2)</f>
      </c>
      <c r="AD226" s="62">
        <f>ROUND(IF(AQ226="7",BH226,0),2)</f>
      </c>
      <c r="AE226" s="62">
        <f>ROUND(IF(AQ226="7",BI226,0),2)</f>
      </c>
      <c r="AF226" s="62">
        <f>ROUND(IF(AQ226="2",BH226,0),2)</f>
      </c>
      <c r="AG226" s="62">
        <f>ROUND(IF(AQ226="2",BI226,0),2)</f>
      </c>
      <c r="AH226" s="62">
        <f>ROUND(IF(AQ226="0",BJ226,0),2)</f>
      </c>
      <c r="AI226" s="35" t="s">
        <v>55</v>
      </c>
      <c r="AJ226" s="62">
        <f>IF(AN226=0,K226,0)</f>
      </c>
      <c r="AK226" s="62">
        <f>IF(AN226=12,K226,0)</f>
      </c>
      <c r="AL226" s="62">
        <f>IF(AN226=21,K226,0)</f>
      </c>
      <c r="AN226" s="62" t="n">
        <v>21</v>
      </c>
      <c r="AO226" s="62">
        <f>H226*0</f>
      </c>
      <c r="AP226" s="62">
        <f>H226*(1-0)</f>
      </c>
      <c r="AQ226" s="65" t="s">
        <v>59</v>
      </c>
      <c r="AV226" s="62">
        <f>ROUND(AW226+AX226,2)</f>
      </c>
      <c r="AW226" s="62">
        <f>ROUND(G226*AO226,2)</f>
      </c>
      <c r="AX226" s="62">
        <f>ROUND(G226*AP226,2)</f>
      </c>
      <c r="AY226" s="65" t="s">
        <v>476</v>
      </c>
      <c r="AZ226" s="65" t="s">
        <v>380</v>
      </c>
      <c r="BA226" s="35" t="s">
        <v>66</v>
      </c>
      <c r="BC226" s="62">
        <f>AW226+AX226</f>
      </c>
      <c r="BD226" s="62">
        <f>H226/(100-BE226)*100</f>
      </c>
      <c r="BE226" s="62" t="n">
        <v>0</v>
      </c>
      <c r="BF226" s="62">
        <f>N226</f>
      </c>
      <c r="BH226" s="62">
        <f>G226*AO226</f>
      </c>
      <c r="BI226" s="62">
        <f>G226*AP226</f>
      </c>
      <c r="BJ226" s="62">
        <f>G226*H226</f>
      </c>
      <c r="BK226" s="65" t="s">
        <v>67</v>
      </c>
      <c r="BL226" s="62" t="n">
        <v>97</v>
      </c>
      <c r="BW226" s="62" t="n">
        <v>21</v>
      </c>
      <c r="BX226" s="16" t="s">
        <v>483</v>
      </c>
    </row>
    <row r="227" customHeight="true" ht="13.5">
      <c r="A227" s="66"/>
      <c r="C227" s="76" t="s">
        <v>71</v>
      </c>
      <c r="D227" s="77" t="s">
        <v>484</v>
      </c>
      <c r="E227" s="78"/>
      <c r="F227" s="78"/>
      <c r="G227" s="78"/>
      <c r="H227" s="79"/>
      <c r="I227" s="78"/>
      <c r="J227" s="78"/>
      <c r="K227" s="78"/>
      <c r="L227" s="78"/>
      <c r="M227" s="78"/>
      <c r="N227" s="78"/>
      <c r="O227" s="80"/>
    </row>
    <row r="228">
      <c r="A228" s="10" t="s">
        <v>365</v>
      </c>
      <c r="B228" s="11" t="s">
        <v>55</v>
      </c>
      <c r="C228" s="11" t="s">
        <v>485</v>
      </c>
      <c r="D228" s="16" t="s">
        <v>486</v>
      </c>
      <c r="E228" s="11"/>
      <c r="F228" s="11" t="s">
        <v>62</v>
      </c>
      <c r="G228" s="62" t="n">
        <v>113.01</v>
      </c>
      <c r="H228" s="63" t="n">
        <v>0</v>
      </c>
      <c r="I228" s="62">
        <f>ROUND(G228*AO228,2)</f>
      </c>
      <c r="J228" s="62">
        <f>ROUND(G228*AP228,2)</f>
      </c>
      <c r="K228" s="62">
        <f>ROUND(G228*H228,2)</f>
      </c>
      <c r="L228" s="62" t="n">
        <v>0</v>
      </c>
      <c r="M228" s="62" t="n">
        <v>0.01</v>
      </c>
      <c r="N228" s="62">
        <f>G228*M228</f>
      </c>
      <c r="O228" s="64" t="s">
        <v>63</v>
      </c>
      <c r="Z228" s="62">
        <f>ROUND(IF(AQ228="5",BJ228,0),2)</f>
      </c>
      <c r="AB228" s="62">
        <f>ROUND(IF(AQ228="1",BH228,0),2)</f>
      </c>
      <c r="AC228" s="62">
        <f>ROUND(IF(AQ228="1",BI228,0),2)</f>
      </c>
      <c r="AD228" s="62">
        <f>ROUND(IF(AQ228="7",BH228,0),2)</f>
      </c>
      <c r="AE228" s="62">
        <f>ROUND(IF(AQ228="7",BI228,0),2)</f>
      </c>
      <c r="AF228" s="62">
        <f>ROUND(IF(AQ228="2",BH228,0),2)</f>
      </c>
      <c r="AG228" s="62">
        <f>ROUND(IF(AQ228="2",BI228,0),2)</f>
      </c>
      <c r="AH228" s="62">
        <f>ROUND(IF(AQ228="0",BJ228,0),2)</f>
      </c>
      <c r="AI228" s="35" t="s">
        <v>55</v>
      </c>
      <c r="AJ228" s="62">
        <f>IF(AN228=0,K228,0)</f>
      </c>
      <c r="AK228" s="62">
        <f>IF(AN228=12,K228,0)</f>
      </c>
      <c r="AL228" s="62">
        <f>IF(AN228=21,K228,0)</f>
      </c>
      <c r="AN228" s="62" t="n">
        <v>21</v>
      </c>
      <c r="AO228" s="62">
        <f>H228*0</f>
      </c>
      <c r="AP228" s="62">
        <f>H228*(1-0)</f>
      </c>
      <c r="AQ228" s="65" t="s">
        <v>59</v>
      </c>
      <c r="AV228" s="62">
        <f>ROUND(AW228+AX228,2)</f>
      </c>
      <c r="AW228" s="62">
        <f>ROUND(G228*AO228,2)</f>
      </c>
      <c r="AX228" s="62">
        <f>ROUND(G228*AP228,2)</f>
      </c>
      <c r="AY228" s="65" t="s">
        <v>476</v>
      </c>
      <c r="AZ228" s="65" t="s">
        <v>380</v>
      </c>
      <c r="BA228" s="35" t="s">
        <v>66</v>
      </c>
      <c r="BC228" s="62">
        <f>AW228+AX228</f>
      </c>
      <c r="BD228" s="62">
        <f>H228/(100-BE228)*100</f>
      </c>
      <c r="BE228" s="62" t="n">
        <v>0</v>
      </c>
      <c r="BF228" s="62">
        <f>N228</f>
      </c>
      <c r="BH228" s="62">
        <f>G228*AO228</f>
      </c>
      <c r="BI228" s="62">
        <f>G228*AP228</f>
      </c>
      <c r="BJ228" s="62">
        <f>G228*H228</f>
      </c>
      <c r="BK228" s="65" t="s">
        <v>67</v>
      </c>
      <c r="BL228" s="62" t="n">
        <v>97</v>
      </c>
      <c r="BW228" s="62" t="n">
        <v>21</v>
      </c>
      <c r="BX228" s="16" t="s">
        <v>486</v>
      </c>
    </row>
    <row r="229">
      <c r="A229" s="66"/>
      <c r="D229" s="72" t="s">
        <v>487</v>
      </c>
      <c r="E229" s="73" t="s">
        <v>54</v>
      </c>
      <c r="G229" s="74" t="n">
        <v>113.01</v>
      </c>
      <c r="O229" s="75"/>
    </row>
    <row r="230">
      <c r="A230" s="10" t="s">
        <v>488</v>
      </c>
      <c r="B230" s="11" t="s">
        <v>55</v>
      </c>
      <c r="C230" s="11" t="s">
        <v>489</v>
      </c>
      <c r="D230" s="16" t="s">
        <v>490</v>
      </c>
      <c r="E230" s="11"/>
      <c r="F230" s="11" t="s">
        <v>62</v>
      </c>
      <c r="G230" s="62" t="n">
        <v>12.26</v>
      </c>
      <c r="H230" s="63" t="n">
        <v>0</v>
      </c>
      <c r="I230" s="62">
        <f>ROUND(G230*AO230,2)</f>
      </c>
      <c r="J230" s="62">
        <f>ROUND(G230*AP230,2)</f>
      </c>
      <c r="K230" s="62">
        <f>ROUND(G230*H230,2)</f>
      </c>
      <c r="L230" s="62" t="n">
        <v>0</v>
      </c>
      <c r="M230" s="62" t="n">
        <v>0.059</v>
      </c>
      <c r="N230" s="62">
        <f>G230*M230</f>
      </c>
      <c r="O230" s="64" t="s">
        <v>63</v>
      </c>
      <c r="Z230" s="62">
        <f>ROUND(IF(AQ230="5",BJ230,0),2)</f>
      </c>
      <c r="AB230" s="62">
        <f>ROUND(IF(AQ230="1",BH230,0),2)</f>
      </c>
      <c r="AC230" s="62">
        <f>ROUND(IF(AQ230="1",BI230,0),2)</f>
      </c>
      <c r="AD230" s="62">
        <f>ROUND(IF(AQ230="7",BH230,0),2)</f>
      </c>
      <c r="AE230" s="62">
        <f>ROUND(IF(AQ230="7",BI230,0),2)</f>
      </c>
      <c r="AF230" s="62">
        <f>ROUND(IF(AQ230="2",BH230,0),2)</f>
      </c>
      <c r="AG230" s="62">
        <f>ROUND(IF(AQ230="2",BI230,0),2)</f>
      </c>
      <c r="AH230" s="62">
        <f>ROUND(IF(AQ230="0",BJ230,0),2)</f>
      </c>
      <c r="AI230" s="35" t="s">
        <v>55</v>
      </c>
      <c r="AJ230" s="62">
        <f>IF(AN230=0,K230,0)</f>
      </c>
      <c r="AK230" s="62">
        <f>IF(AN230=12,K230,0)</f>
      </c>
      <c r="AL230" s="62">
        <f>IF(AN230=21,K230,0)</f>
      </c>
      <c r="AN230" s="62" t="n">
        <v>21</v>
      </c>
      <c r="AO230" s="62">
        <f>H230*0</f>
      </c>
      <c r="AP230" s="62">
        <f>H230*(1-0)</f>
      </c>
      <c r="AQ230" s="65" t="s">
        <v>59</v>
      </c>
      <c r="AV230" s="62">
        <f>ROUND(AW230+AX230,2)</f>
      </c>
      <c r="AW230" s="62">
        <f>ROUND(G230*AO230,2)</f>
      </c>
      <c r="AX230" s="62">
        <f>ROUND(G230*AP230,2)</f>
      </c>
      <c r="AY230" s="65" t="s">
        <v>476</v>
      </c>
      <c r="AZ230" s="65" t="s">
        <v>380</v>
      </c>
      <c r="BA230" s="35" t="s">
        <v>66</v>
      </c>
      <c r="BC230" s="62">
        <f>AW230+AX230</f>
      </c>
      <c r="BD230" s="62">
        <f>H230/(100-BE230)*100</f>
      </c>
      <c r="BE230" s="62" t="n">
        <v>0</v>
      </c>
      <c r="BF230" s="62">
        <f>N230</f>
      </c>
      <c r="BH230" s="62">
        <f>G230*AO230</f>
      </c>
      <c r="BI230" s="62">
        <f>G230*AP230</f>
      </c>
      <c r="BJ230" s="62">
        <f>G230*H230</f>
      </c>
      <c r="BK230" s="65" t="s">
        <v>67</v>
      </c>
      <c r="BL230" s="62" t="n">
        <v>97</v>
      </c>
      <c r="BW230" s="62" t="n">
        <v>21</v>
      </c>
      <c r="BX230" s="16" t="s">
        <v>490</v>
      </c>
    </row>
    <row r="231">
      <c r="A231" s="66"/>
      <c r="D231" s="72" t="s">
        <v>491</v>
      </c>
      <c r="E231" s="73" t="s">
        <v>54</v>
      </c>
      <c r="G231" s="74" t="n">
        <v>12.26</v>
      </c>
      <c r="O231" s="75"/>
    </row>
    <row r="232">
      <c r="A232" s="10" t="s">
        <v>492</v>
      </c>
      <c r="B232" s="11" t="s">
        <v>55</v>
      </c>
      <c r="C232" s="11" t="s">
        <v>493</v>
      </c>
      <c r="D232" s="16" t="s">
        <v>494</v>
      </c>
      <c r="E232" s="11"/>
      <c r="F232" s="11" t="s">
        <v>62</v>
      </c>
      <c r="G232" s="62" t="n">
        <v>113</v>
      </c>
      <c r="H232" s="63" t="n">
        <v>0</v>
      </c>
      <c r="I232" s="62">
        <f>ROUND(G232*AO232,2)</f>
      </c>
      <c r="J232" s="62">
        <f>ROUND(G232*AP232,2)</f>
      </c>
      <c r="K232" s="62">
        <f>ROUND(G232*H232,2)</f>
      </c>
      <c r="L232" s="62" t="n">
        <v>0</v>
      </c>
      <c r="M232" s="62" t="n">
        <v>0.0056</v>
      </c>
      <c r="N232" s="62">
        <f>G232*M232</f>
      </c>
      <c r="O232" s="64" t="s">
        <v>63</v>
      </c>
      <c r="Z232" s="62">
        <f>ROUND(IF(AQ232="5",BJ232,0),2)</f>
      </c>
      <c r="AB232" s="62">
        <f>ROUND(IF(AQ232="1",BH232,0),2)</f>
      </c>
      <c r="AC232" s="62">
        <f>ROUND(IF(AQ232="1",BI232,0),2)</f>
      </c>
      <c r="AD232" s="62">
        <f>ROUND(IF(AQ232="7",BH232,0),2)</f>
      </c>
      <c r="AE232" s="62">
        <f>ROUND(IF(AQ232="7",BI232,0),2)</f>
      </c>
      <c r="AF232" s="62">
        <f>ROUND(IF(AQ232="2",BH232,0),2)</f>
      </c>
      <c r="AG232" s="62">
        <f>ROUND(IF(AQ232="2",BI232,0),2)</f>
      </c>
      <c r="AH232" s="62">
        <f>ROUND(IF(AQ232="0",BJ232,0),2)</f>
      </c>
      <c r="AI232" s="35" t="s">
        <v>55</v>
      </c>
      <c r="AJ232" s="62">
        <f>IF(AN232=0,K232,0)</f>
      </c>
      <c r="AK232" s="62">
        <f>IF(AN232=12,K232,0)</f>
      </c>
      <c r="AL232" s="62">
        <f>IF(AN232=21,K232,0)</f>
      </c>
      <c r="AN232" s="62" t="n">
        <v>21</v>
      </c>
      <c r="AO232" s="62">
        <f>H232*0</f>
      </c>
      <c r="AP232" s="62">
        <f>H232*(1-0)</f>
      </c>
      <c r="AQ232" s="65" t="s">
        <v>59</v>
      </c>
      <c r="AV232" s="62">
        <f>ROUND(AW232+AX232,2)</f>
      </c>
      <c r="AW232" s="62">
        <f>ROUND(G232*AO232,2)</f>
      </c>
      <c r="AX232" s="62">
        <f>ROUND(G232*AP232,2)</f>
      </c>
      <c r="AY232" s="65" t="s">
        <v>476</v>
      </c>
      <c r="AZ232" s="65" t="s">
        <v>380</v>
      </c>
      <c r="BA232" s="35" t="s">
        <v>66</v>
      </c>
      <c r="BC232" s="62">
        <f>AW232+AX232</f>
      </c>
      <c r="BD232" s="62">
        <f>H232/(100-BE232)*100</f>
      </c>
      <c r="BE232" s="62" t="n">
        <v>0</v>
      </c>
      <c r="BF232" s="62">
        <f>N232</f>
      </c>
      <c r="BH232" s="62">
        <f>G232*AO232</f>
      </c>
      <c r="BI232" s="62">
        <f>G232*AP232</f>
      </c>
      <c r="BJ232" s="62">
        <f>G232*H232</f>
      </c>
      <c r="BK232" s="65" t="s">
        <v>67</v>
      </c>
      <c r="BL232" s="62" t="n">
        <v>97</v>
      </c>
      <c r="BW232" s="62" t="n">
        <v>21</v>
      </c>
      <c r="BX232" s="16" t="s">
        <v>494</v>
      </c>
    </row>
    <row r="233">
      <c r="A233" s="66"/>
      <c r="D233" s="72" t="s">
        <v>495</v>
      </c>
      <c r="E233" s="73" t="s">
        <v>54</v>
      </c>
      <c r="G233" s="74" t="n">
        <v>113</v>
      </c>
      <c r="O233" s="75"/>
    </row>
    <row r="234">
      <c r="A234" s="10" t="s">
        <v>496</v>
      </c>
      <c r="B234" s="11" t="s">
        <v>55</v>
      </c>
      <c r="C234" s="11" t="s">
        <v>497</v>
      </c>
      <c r="D234" s="16" t="s">
        <v>498</v>
      </c>
      <c r="E234" s="11"/>
      <c r="F234" s="11" t="s">
        <v>103</v>
      </c>
      <c r="G234" s="62" t="n">
        <v>1</v>
      </c>
      <c r="H234" s="63" t="n">
        <v>0</v>
      </c>
      <c r="I234" s="62">
        <f>ROUND(G234*AO234,2)</f>
      </c>
      <c r="J234" s="62">
        <f>ROUND(G234*AP234,2)</f>
      </c>
      <c r="K234" s="62">
        <f>ROUND(G234*H234,2)</f>
      </c>
      <c r="L234" s="62" t="n">
        <v>0</v>
      </c>
      <c r="M234" s="62" t="n">
        <v>0</v>
      </c>
      <c r="N234" s="62">
        <f>G234*M234</f>
      </c>
      <c r="O234" s="64" t="s">
        <v>63</v>
      </c>
      <c r="Z234" s="62">
        <f>ROUND(IF(AQ234="5",BJ234,0),2)</f>
      </c>
      <c r="AB234" s="62">
        <f>ROUND(IF(AQ234="1",BH234,0),2)</f>
      </c>
      <c r="AC234" s="62">
        <f>ROUND(IF(AQ234="1",BI234,0),2)</f>
      </c>
      <c r="AD234" s="62">
        <f>ROUND(IF(AQ234="7",BH234,0),2)</f>
      </c>
      <c r="AE234" s="62">
        <f>ROUND(IF(AQ234="7",BI234,0),2)</f>
      </c>
      <c r="AF234" s="62">
        <f>ROUND(IF(AQ234="2",BH234,0),2)</f>
      </c>
      <c r="AG234" s="62">
        <f>ROUND(IF(AQ234="2",BI234,0),2)</f>
      </c>
      <c r="AH234" s="62">
        <f>ROUND(IF(AQ234="0",BJ234,0),2)</f>
      </c>
      <c r="AI234" s="35" t="s">
        <v>55</v>
      </c>
      <c r="AJ234" s="62">
        <f>IF(AN234=0,K234,0)</f>
      </c>
      <c r="AK234" s="62">
        <f>IF(AN234=12,K234,0)</f>
      </c>
      <c r="AL234" s="62">
        <f>IF(AN234=21,K234,0)</f>
      </c>
      <c r="AN234" s="62" t="n">
        <v>21</v>
      </c>
      <c r="AO234" s="62">
        <f>H234*0</f>
      </c>
      <c r="AP234" s="62">
        <f>H234*(1-0)</f>
      </c>
      <c r="AQ234" s="65" t="s">
        <v>59</v>
      </c>
      <c r="AV234" s="62">
        <f>ROUND(AW234+AX234,2)</f>
      </c>
      <c r="AW234" s="62">
        <f>ROUND(G234*AO234,2)</f>
      </c>
      <c r="AX234" s="62">
        <f>ROUND(G234*AP234,2)</f>
      </c>
      <c r="AY234" s="65" t="s">
        <v>476</v>
      </c>
      <c r="AZ234" s="65" t="s">
        <v>380</v>
      </c>
      <c r="BA234" s="35" t="s">
        <v>66</v>
      </c>
      <c r="BC234" s="62">
        <f>AW234+AX234</f>
      </c>
      <c r="BD234" s="62">
        <f>H234/(100-BE234)*100</f>
      </c>
      <c r="BE234" s="62" t="n">
        <v>0</v>
      </c>
      <c r="BF234" s="62">
        <f>N234</f>
      </c>
      <c r="BH234" s="62">
        <f>G234*AO234</f>
      </c>
      <c r="BI234" s="62">
        <f>G234*AP234</f>
      </c>
      <c r="BJ234" s="62">
        <f>G234*H234</f>
      </c>
      <c r="BK234" s="65" t="s">
        <v>67</v>
      </c>
      <c r="BL234" s="62" t="n">
        <v>97</v>
      </c>
      <c r="BW234" s="62" t="n">
        <v>21</v>
      </c>
      <c r="BX234" s="16" t="s">
        <v>498</v>
      </c>
    </row>
    <row r="235">
      <c r="A235" s="10" t="s">
        <v>499</v>
      </c>
      <c r="B235" s="11" t="s">
        <v>55</v>
      </c>
      <c r="C235" s="11" t="s">
        <v>500</v>
      </c>
      <c r="D235" s="16" t="s">
        <v>501</v>
      </c>
      <c r="E235" s="11"/>
      <c r="F235" s="11" t="s">
        <v>502</v>
      </c>
      <c r="G235" s="62" t="n">
        <v>2</v>
      </c>
      <c r="H235" s="63" t="n">
        <v>0</v>
      </c>
      <c r="I235" s="62">
        <f>ROUND(G235*AO235,2)</f>
      </c>
      <c r="J235" s="62">
        <f>ROUND(G235*AP235,2)</f>
      </c>
      <c r="K235" s="62">
        <f>ROUND(G235*H235,2)</f>
      </c>
      <c r="L235" s="62" t="n">
        <v>0</v>
      </c>
      <c r="M235" s="62" t="n">
        <v>0</v>
      </c>
      <c r="N235" s="62">
        <f>G235*M235</f>
      </c>
      <c r="O235" s="64" t="s">
        <v>63</v>
      </c>
      <c r="Z235" s="62">
        <f>ROUND(IF(AQ235="5",BJ235,0),2)</f>
      </c>
      <c r="AB235" s="62">
        <f>ROUND(IF(AQ235="1",BH235,0),2)</f>
      </c>
      <c r="AC235" s="62">
        <f>ROUND(IF(AQ235="1",BI235,0),2)</f>
      </c>
      <c r="AD235" s="62">
        <f>ROUND(IF(AQ235="7",BH235,0),2)</f>
      </c>
      <c r="AE235" s="62">
        <f>ROUND(IF(AQ235="7",BI235,0),2)</f>
      </c>
      <c r="AF235" s="62">
        <f>ROUND(IF(AQ235="2",BH235,0),2)</f>
      </c>
      <c r="AG235" s="62">
        <f>ROUND(IF(AQ235="2",BI235,0),2)</f>
      </c>
      <c r="AH235" s="62">
        <f>ROUND(IF(AQ235="0",BJ235,0),2)</f>
      </c>
      <c r="AI235" s="35" t="s">
        <v>55</v>
      </c>
      <c r="AJ235" s="62">
        <f>IF(AN235=0,K235,0)</f>
      </c>
      <c r="AK235" s="62">
        <f>IF(AN235=12,K235,0)</f>
      </c>
      <c r="AL235" s="62">
        <f>IF(AN235=21,K235,0)</f>
      </c>
      <c r="AN235" s="62" t="n">
        <v>21</v>
      </c>
      <c r="AO235" s="62">
        <f>H235*0</f>
      </c>
      <c r="AP235" s="62">
        <f>H235*(1-0)</f>
      </c>
      <c r="AQ235" s="65" t="s">
        <v>59</v>
      </c>
      <c r="AV235" s="62">
        <f>ROUND(AW235+AX235,2)</f>
      </c>
      <c r="AW235" s="62">
        <f>ROUND(G235*AO235,2)</f>
      </c>
      <c r="AX235" s="62">
        <f>ROUND(G235*AP235,2)</f>
      </c>
      <c r="AY235" s="65" t="s">
        <v>476</v>
      </c>
      <c r="AZ235" s="65" t="s">
        <v>380</v>
      </c>
      <c r="BA235" s="35" t="s">
        <v>66</v>
      </c>
      <c r="BC235" s="62">
        <f>AW235+AX235</f>
      </c>
      <c r="BD235" s="62">
        <f>H235/(100-BE235)*100</f>
      </c>
      <c r="BE235" s="62" t="n">
        <v>0</v>
      </c>
      <c r="BF235" s="62">
        <f>N235</f>
      </c>
      <c r="BH235" s="62">
        <f>G235*AO235</f>
      </c>
      <c r="BI235" s="62">
        <f>G235*AP235</f>
      </c>
      <c r="BJ235" s="62">
        <f>G235*H235</f>
      </c>
      <c r="BK235" s="65" t="s">
        <v>67</v>
      </c>
      <c r="BL235" s="62" t="n">
        <v>97</v>
      </c>
      <c r="BW235" s="62" t="n">
        <v>21</v>
      </c>
      <c r="BX235" s="16" t="s">
        <v>501</v>
      </c>
    </row>
    <row r="236">
      <c r="A236" s="10" t="s">
        <v>374</v>
      </c>
      <c r="B236" s="11" t="s">
        <v>55</v>
      </c>
      <c r="C236" s="11" t="s">
        <v>503</v>
      </c>
      <c r="D236" s="16" t="s">
        <v>504</v>
      </c>
      <c r="E236" s="11"/>
      <c r="F236" s="11" t="s">
        <v>505</v>
      </c>
      <c r="G236" s="62" t="n">
        <v>210</v>
      </c>
      <c r="H236" s="63" t="n">
        <v>0</v>
      </c>
      <c r="I236" s="62">
        <f>ROUND(G236*AO236,2)</f>
      </c>
      <c r="J236" s="62">
        <f>ROUND(G236*AP236,2)</f>
      </c>
      <c r="K236" s="62">
        <f>ROUND(G236*H236,2)</f>
      </c>
      <c r="L236" s="62" t="n">
        <v>0</v>
      </c>
      <c r="M236" s="62" t="n">
        <v>0</v>
      </c>
      <c r="N236" s="62">
        <f>G236*M236</f>
      </c>
      <c r="O236" s="64" t="s">
        <v>63</v>
      </c>
      <c r="Z236" s="62">
        <f>ROUND(IF(AQ236="5",BJ236,0),2)</f>
      </c>
      <c r="AB236" s="62">
        <f>ROUND(IF(AQ236="1",BH236,0),2)</f>
      </c>
      <c r="AC236" s="62">
        <f>ROUND(IF(AQ236="1",BI236,0),2)</f>
      </c>
      <c r="AD236" s="62">
        <f>ROUND(IF(AQ236="7",BH236,0),2)</f>
      </c>
      <c r="AE236" s="62">
        <f>ROUND(IF(AQ236="7",BI236,0),2)</f>
      </c>
      <c r="AF236" s="62">
        <f>ROUND(IF(AQ236="2",BH236,0),2)</f>
      </c>
      <c r="AG236" s="62">
        <f>ROUND(IF(AQ236="2",BI236,0),2)</f>
      </c>
      <c r="AH236" s="62">
        <f>ROUND(IF(AQ236="0",BJ236,0),2)</f>
      </c>
      <c r="AI236" s="35" t="s">
        <v>55</v>
      </c>
      <c r="AJ236" s="62">
        <f>IF(AN236=0,K236,0)</f>
      </c>
      <c r="AK236" s="62">
        <f>IF(AN236=12,K236,0)</f>
      </c>
      <c r="AL236" s="62">
        <f>IF(AN236=21,K236,0)</f>
      </c>
      <c r="AN236" s="62" t="n">
        <v>21</v>
      </c>
      <c r="AO236" s="62">
        <f>H236*0</f>
      </c>
      <c r="AP236" s="62">
        <f>H236*(1-0)</f>
      </c>
      <c r="AQ236" s="65" t="s">
        <v>59</v>
      </c>
      <c r="AV236" s="62">
        <f>ROUND(AW236+AX236,2)</f>
      </c>
      <c r="AW236" s="62">
        <f>ROUND(G236*AO236,2)</f>
      </c>
      <c r="AX236" s="62">
        <f>ROUND(G236*AP236,2)</f>
      </c>
      <c r="AY236" s="65" t="s">
        <v>476</v>
      </c>
      <c r="AZ236" s="65" t="s">
        <v>380</v>
      </c>
      <c r="BA236" s="35" t="s">
        <v>66</v>
      </c>
      <c r="BC236" s="62">
        <f>AW236+AX236</f>
      </c>
      <c r="BD236" s="62">
        <f>H236/(100-BE236)*100</f>
      </c>
      <c r="BE236" s="62" t="n">
        <v>0</v>
      </c>
      <c r="BF236" s="62">
        <f>N236</f>
      </c>
      <c r="BH236" s="62">
        <f>G236*AO236</f>
      </c>
      <c r="BI236" s="62">
        <f>G236*AP236</f>
      </c>
      <c r="BJ236" s="62">
        <f>G236*H236</f>
      </c>
      <c r="BK236" s="65" t="s">
        <v>67</v>
      </c>
      <c r="BL236" s="62" t="n">
        <v>97</v>
      </c>
      <c r="BW236" s="62" t="n">
        <v>21</v>
      </c>
      <c r="BX236" s="16" t="s">
        <v>504</v>
      </c>
    </row>
    <row r="237">
      <c r="A237" s="66"/>
      <c r="D237" s="72" t="s">
        <v>506</v>
      </c>
      <c r="E237" s="73" t="s">
        <v>54</v>
      </c>
      <c r="G237" s="74" t="n">
        <v>210</v>
      </c>
      <c r="O237" s="75"/>
    </row>
    <row r="238">
      <c r="A238" s="10" t="s">
        <v>507</v>
      </c>
      <c r="B238" s="11" t="s">
        <v>55</v>
      </c>
      <c r="C238" s="11" t="s">
        <v>508</v>
      </c>
      <c r="D238" s="16" t="s">
        <v>509</v>
      </c>
      <c r="E238" s="11"/>
      <c r="F238" s="11" t="s">
        <v>505</v>
      </c>
      <c r="G238" s="62" t="n">
        <v>14</v>
      </c>
      <c r="H238" s="63" t="n">
        <v>0</v>
      </c>
      <c r="I238" s="62">
        <f>ROUND(G238*AO238,2)</f>
      </c>
      <c r="J238" s="62">
        <f>ROUND(G238*AP238,2)</f>
      </c>
      <c r="K238" s="62">
        <f>ROUND(G238*H238,2)</f>
      </c>
      <c r="L238" s="62" t="n">
        <v>0</v>
      </c>
      <c r="M238" s="62" t="n">
        <v>0</v>
      </c>
      <c r="N238" s="62">
        <f>G238*M238</f>
      </c>
      <c r="O238" s="64" t="s">
        <v>63</v>
      </c>
      <c r="Z238" s="62">
        <f>ROUND(IF(AQ238="5",BJ238,0),2)</f>
      </c>
      <c r="AB238" s="62">
        <f>ROUND(IF(AQ238="1",BH238,0),2)</f>
      </c>
      <c r="AC238" s="62">
        <f>ROUND(IF(AQ238="1",BI238,0),2)</f>
      </c>
      <c r="AD238" s="62">
        <f>ROUND(IF(AQ238="7",BH238,0),2)</f>
      </c>
      <c r="AE238" s="62">
        <f>ROUND(IF(AQ238="7",BI238,0),2)</f>
      </c>
      <c r="AF238" s="62">
        <f>ROUND(IF(AQ238="2",BH238,0),2)</f>
      </c>
      <c r="AG238" s="62">
        <f>ROUND(IF(AQ238="2",BI238,0),2)</f>
      </c>
      <c r="AH238" s="62">
        <f>ROUND(IF(AQ238="0",BJ238,0),2)</f>
      </c>
      <c r="AI238" s="35" t="s">
        <v>55</v>
      </c>
      <c r="AJ238" s="62">
        <f>IF(AN238=0,K238,0)</f>
      </c>
      <c r="AK238" s="62">
        <f>IF(AN238=12,K238,0)</f>
      </c>
      <c r="AL238" s="62">
        <f>IF(AN238=21,K238,0)</f>
      </c>
      <c r="AN238" s="62" t="n">
        <v>21</v>
      </c>
      <c r="AO238" s="62">
        <f>H238*0</f>
      </c>
      <c r="AP238" s="62">
        <f>H238*(1-0)</f>
      </c>
      <c r="AQ238" s="65" t="s">
        <v>59</v>
      </c>
      <c r="AV238" s="62">
        <f>ROUND(AW238+AX238,2)</f>
      </c>
      <c r="AW238" s="62">
        <f>ROUND(G238*AO238,2)</f>
      </c>
      <c r="AX238" s="62">
        <f>ROUND(G238*AP238,2)</f>
      </c>
      <c r="AY238" s="65" t="s">
        <v>476</v>
      </c>
      <c r="AZ238" s="65" t="s">
        <v>380</v>
      </c>
      <c r="BA238" s="35" t="s">
        <v>66</v>
      </c>
      <c r="BC238" s="62">
        <f>AW238+AX238</f>
      </c>
      <c r="BD238" s="62">
        <f>H238/(100-BE238)*100</f>
      </c>
      <c r="BE238" s="62" t="n">
        <v>0</v>
      </c>
      <c r="BF238" s="62">
        <f>N238</f>
      </c>
      <c r="BH238" s="62">
        <f>G238*AO238</f>
      </c>
      <c r="BI238" s="62">
        <f>G238*AP238</f>
      </c>
      <c r="BJ238" s="62">
        <f>G238*H238</f>
      </c>
      <c r="BK238" s="65" t="s">
        <v>67</v>
      </c>
      <c r="BL238" s="62" t="n">
        <v>97</v>
      </c>
      <c r="BW238" s="62" t="n">
        <v>21</v>
      </c>
      <c r="BX238" s="16" t="s">
        <v>509</v>
      </c>
    </row>
    <row r="239">
      <c r="A239" s="81" t="s">
        <v>54</v>
      </c>
      <c r="B239" s="82" t="s">
        <v>55</v>
      </c>
      <c r="C239" s="82" t="s">
        <v>510</v>
      </c>
      <c r="D239" s="83" t="s">
        <v>511</v>
      </c>
      <c r="E239" s="82"/>
      <c r="F239" s="84" t="s">
        <v>4</v>
      </c>
      <c r="G239" s="84" t="s">
        <v>4</v>
      </c>
      <c r="H239" s="85" t="s">
        <v>4</v>
      </c>
      <c r="I239" s="86">
        <f>SUM(I240:I240)</f>
      </c>
      <c r="J239" s="86">
        <f>SUM(J240:J240)</f>
      </c>
      <c r="K239" s="86">
        <f>SUM(K240:K240)</f>
      </c>
      <c r="L239" s="87" t="s">
        <v>54</v>
      </c>
      <c r="M239" s="87" t="s">
        <v>54</v>
      </c>
      <c r="N239" s="86">
        <f>SUM(N240:N240)</f>
      </c>
      <c r="O239" s="88" t="s">
        <v>54</v>
      </c>
      <c r="AI239" s="35" t="s">
        <v>55</v>
      </c>
      <c r="AS239" s="2">
        <f>SUM(AJ240:AJ240)</f>
      </c>
      <c r="AT239" s="2">
        <f>SUM(AK240:AK240)</f>
      </c>
      <c r="AU239" s="2">
        <f>SUM(AL240:AL240)</f>
      </c>
    </row>
    <row r="240">
      <c r="A240" s="89" t="s">
        <v>512</v>
      </c>
      <c r="B240" s="90" t="s">
        <v>55</v>
      </c>
      <c r="C240" s="90" t="s">
        <v>513</v>
      </c>
      <c r="D240" s="91" t="s">
        <v>514</v>
      </c>
      <c r="E240" s="90"/>
      <c r="F240" s="90" t="s">
        <v>515</v>
      </c>
      <c r="G240" s="92" t="n">
        <v>27.44</v>
      </c>
      <c r="H240" s="93" t="n">
        <v>0</v>
      </c>
      <c r="I240" s="92">
        <f>ROUND(G240*AO240,2)</f>
      </c>
      <c r="J240" s="92">
        <f>ROUND(G240*AP240,2)</f>
      </c>
      <c r="K240" s="92">
        <f>ROUND(G240*H240,2)</f>
      </c>
      <c r="L240" s="94" t="n">
        <v>0</v>
      </c>
      <c r="M240" s="95" t="n">
        <v>0</v>
      </c>
      <c r="N240" s="92">
        <f>G240*M240</f>
      </c>
      <c r="O240" s="96" t="s">
        <v>63</v>
      </c>
      <c r="Z240" s="62">
        <f>ROUND(IF(AQ240="5",BJ240,0),2)</f>
      </c>
      <c r="AB240" s="62">
        <f>ROUND(IF(AQ240="1",BH240,0),2)</f>
      </c>
      <c r="AC240" s="62">
        <f>ROUND(IF(AQ240="1",BI240,0),2)</f>
      </c>
      <c r="AD240" s="62">
        <f>ROUND(IF(AQ240="7",BH240,0),2)</f>
      </c>
      <c r="AE240" s="62">
        <f>ROUND(IF(AQ240="7",BI240,0),2)</f>
      </c>
      <c r="AF240" s="62">
        <f>ROUND(IF(AQ240="2",BH240,0),2)</f>
      </c>
      <c r="AG240" s="62">
        <f>ROUND(IF(AQ240="2",BI240,0),2)</f>
      </c>
      <c r="AH240" s="62">
        <f>ROUND(IF(AQ240="0",BJ240,0),2)</f>
      </c>
      <c r="AI240" s="35" t="s">
        <v>55</v>
      </c>
      <c r="AJ240" s="62">
        <f>IF(AN240=0,K240,0)</f>
      </c>
      <c r="AK240" s="62">
        <f>IF(AN240=12,K240,0)</f>
      </c>
      <c r="AL240" s="62">
        <f>IF(AN240=21,K240,0)</f>
      </c>
      <c r="AN240" s="62" t="n">
        <v>21</v>
      </c>
      <c r="AO240" s="62">
        <f>H240*0</f>
      </c>
      <c r="AP240" s="62">
        <f>H240*(1-0)</f>
      </c>
      <c r="AQ240" s="65" t="s">
        <v>90</v>
      </c>
      <c r="AV240" s="62">
        <f>ROUND(AW240+AX240,2)</f>
      </c>
      <c r="AW240" s="62">
        <f>ROUND(G240*AO240,2)</f>
      </c>
      <c r="AX240" s="62">
        <f>ROUND(G240*AP240,2)</f>
      </c>
      <c r="AY240" s="65" t="s">
        <v>516</v>
      </c>
      <c r="AZ240" s="65" t="s">
        <v>380</v>
      </c>
      <c r="BA240" s="35" t="s">
        <v>66</v>
      </c>
      <c r="BC240" s="62">
        <f>AW240+AX240</f>
      </c>
      <c r="BD240" s="62">
        <f>H240/(100-BE240)*100</f>
      </c>
      <c r="BE240" s="62" t="n">
        <v>0</v>
      </c>
      <c r="BF240" s="62">
        <f>N240</f>
      </c>
      <c r="BH240" s="62">
        <f>G240*AO240</f>
      </c>
      <c r="BI240" s="62">
        <f>G240*AP240</f>
      </c>
      <c r="BJ240" s="62">
        <f>G240*H240</f>
      </c>
      <c r="BK240" s="65" t="s">
        <v>67</v>
      </c>
      <c r="BL240" s="62"/>
      <c r="BW240" s="62" t="n">
        <v>21</v>
      </c>
      <c r="BX240" s="16" t="s">
        <v>514</v>
      </c>
    </row>
    <row r="241">
      <c r="A241" s="97"/>
      <c r="B241" s="98"/>
      <c r="C241" s="98"/>
      <c r="D241" s="99" t="s">
        <v>517</v>
      </c>
      <c r="E241" s="100" t="s">
        <v>54</v>
      </c>
      <c r="F241" s="98"/>
      <c r="G241" s="101" t="n">
        <v>27.44</v>
      </c>
      <c r="H241" s="102"/>
      <c r="I241" s="98"/>
      <c r="J241" s="98"/>
      <c r="K241" s="98"/>
      <c r="L241" s="103"/>
      <c r="M241" s="104"/>
      <c r="N241" s="98"/>
      <c r="O241" s="105"/>
    </row>
    <row r="242">
      <c r="A242" s="106" t="s">
        <v>54</v>
      </c>
      <c r="B242" s="107" t="s">
        <v>55</v>
      </c>
      <c r="C242" s="107" t="s">
        <v>518</v>
      </c>
      <c r="D242" s="108" t="s">
        <v>519</v>
      </c>
      <c r="E242" s="107"/>
      <c r="F242" s="109" t="s">
        <v>4</v>
      </c>
      <c r="G242" s="109" t="s">
        <v>4</v>
      </c>
      <c r="H242" s="110" t="s">
        <v>4</v>
      </c>
      <c r="I242" s="111">
        <f>SUM(I243:I252)</f>
      </c>
      <c r="J242" s="111">
        <f>SUM(J243:J252)</f>
      </c>
      <c r="K242" s="111">
        <f>SUM(K243:K252)</f>
      </c>
      <c r="L242" s="112" t="s">
        <v>54</v>
      </c>
      <c r="M242" s="112" t="s">
        <v>54</v>
      </c>
      <c r="N242" s="111">
        <f>SUM(N243:N252)</f>
      </c>
      <c r="O242" s="113" t="s">
        <v>54</v>
      </c>
      <c r="AI242" s="35" t="s">
        <v>55</v>
      </c>
      <c r="AS242" s="2">
        <f>SUM(AJ243:AJ252)</f>
      </c>
      <c r="AT242" s="2">
        <f>SUM(AK243:AK252)</f>
      </c>
      <c r="AU242" s="2">
        <f>SUM(AL243:AL252)</f>
      </c>
    </row>
    <row r="243">
      <c r="A243" s="10" t="s">
        <v>520</v>
      </c>
      <c r="B243" s="11" t="s">
        <v>55</v>
      </c>
      <c r="C243" s="11" t="s">
        <v>521</v>
      </c>
      <c r="D243" s="16" t="s">
        <v>522</v>
      </c>
      <c r="E243" s="11"/>
      <c r="F243" s="11" t="s">
        <v>515</v>
      </c>
      <c r="G243" s="62" t="n">
        <v>5.85</v>
      </c>
      <c r="H243" s="63" t="n">
        <v>0</v>
      </c>
      <c r="I243" s="62">
        <f>ROUND(G243*AO243,2)</f>
      </c>
      <c r="J243" s="62">
        <f>ROUND(G243*AP243,2)</f>
      </c>
      <c r="K243" s="62">
        <f>ROUND(G243*H243,2)</f>
      </c>
      <c r="L243" s="62" t="n">
        <v>0</v>
      </c>
      <c r="M243" s="62" t="n">
        <v>0</v>
      </c>
      <c r="N243" s="62">
        <f>G243*M243</f>
      </c>
      <c r="O243" s="64" t="s">
        <v>63</v>
      </c>
      <c r="Z243" s="62">
        <f>ROUND(IF(AQ243="5",BJ243,0),2)</f>
      </c>
      <c r="AB243" s="62">
        <f>ROUND(IF(AQ243="1",BH243,0),2)</f>
      </c>
      <c r="AC243" s="62">
        <f>ROUND(IF(AQ243="1",BI243,0),2)</f>
      </c>
      <c r="AD243" s="62">
        <f>ROUND(IF(AQ243="7",BH243,0),2)</f>
      </c>
      <c r="AE243" s="62">
        <f>ROUND(IF(AQ243="7",BI243,0),2)</f>
      </c>
      <c r="AF243" s="62">
        <f>ROUND(IF(AQ243="2",BH243,0),2)</f>
      </c>
      <c r="AG243" s="62">
        <f>ROUND(IF(AQ243="2",BI243,0),2)</f>
      </c>
      <c r="AH243" s="62">
        <f>ROUND(IF(AQ243="0",BJ243,0),2)</f>
      </c>
      <c r="AI243" s="35" t="s">
        <v>55</v>
      </c>
      <c r="AJ243" s="62">
        <f>IF(AN243=0,K243,0)</f>
      </c>
      <c r="AK243" s="62">
        <f>IF(AN243=12,K243,0)</f>
      </c>
      <c r="AL243" s="62">
        <f>IF(AN243=21,K243,0)</f>
      </c>
      <c r="AN243" s="62" t="n">
        <v>21</v>
      </c>
      <c r="AO243" s="62">
        <f>H243*0</f>
      </c>
      <c r="AP243" s="62">
        <f>H243*(1-0)</f>
      </c>
      <c r="AQ243" s="65" t="s">
        <v>90</v>
      </c>
      <c r="AV243" s="62">
        <f>ROUND(AW243+AX243,2)</f>
      </c>
      <c r="AW243" s="62">
        <f>ROUND(G243*AO243,2)</f>
      </c>
      <c r="AX243" s="62">
        <f>ROUND(G243*AP243,2)</f>
      </c>
      <c r="AY243" s="65" t="s">
        <v>523</v>
      </c>
      <c r="AZ243" s="65" t="s">
        <v>380</v>
      </c>
      <c r="BA243" s="35" t="s">
        <v>66</v>
      </c>
      <c r="BC243" s="62">
        <f>AW243+AX243</f>
      </c>
      <c r="BD243" s="62">
        <f>H243/(100-BE243)*100</f>
      </c>
      <c r="BE243" s="62" t="n">
        <v>0</v>
      </c>
      <c r="BF243" s="62">
        <f>N243</f>
      </c>
      <c r="BH243" s="62">
        <f>G243*AO243</f>
      </c>
      <c r="BI243" s="62">
        <f>G243*AP243</f>
      </c>
      <c r="BJ243" s="62">
        <f>G243*H243</f>
      </c>
      <c r="BK243" s="65" t="s">
        <v>67</v>
      </c>
      <c r="BL243" s="62"/>
      <c r="BW243" s="62" t="n">
        <v>21</v>
      </c>
      <c r="BX243" s="16" t="s">
        <v>522</v>
      </c>
    </row>
    <row r="244" customHeight="true" ht="13.5">
      <c r="A244" s="66"/>
      <c r="C244" s="67" t="s">
        <v>68</v>
      </c>
      <c r="D244" s="68" t="s">
        <v>524</v>
      </c>
      <c r="E244" s="69"/>
      <c r="F244" s="69"/>
      <c r="G244" s="69"/>
      <c r="H244" s="70"/>
      <c r="I244" s="69"/>
      <c r="J244" s="69"/>
      <c r="K244" s="69"/>
      <c r="L244" s="69"/>
      <c r="M244" s="69"/>
      <c r="N244" s="69"/>
      <c r="O244" s="71"/>
    </row>
    <row r="245">
      <c r="A245" s="66"/>
      <c r="D245" s="72" t="s">
        <v>525</v>
      </c>
      <c r="E245" s="73" t="s">
        <v>54</v>
      </c>
      <c r="G245" s="74" t="n">
        <v>5.85</v>
      </c>
      <c r="O245" s="75"/>
    </row>
    <row r="246">
      <c r="A246" s="10" t="s">
        <v>386</v>
      </c>
      <c r="B246" s="11" t="s">
        <v>55</v>
      </c>
      <c r="C246" s="11" t="s">
        <v>526</v>
      </c>
      <c r="D246" s="16" t="s">
        <v>527</v>
      </c>
      <c r="E246" s="11"/>
      <c r="F246" s="11" t="s">
        <v>515</v>
      </c>
      <c r="G246" s="62" t="n">
        <v>6.42</v>
      </c>
      <c r="H246" s="63" t="n">
        <v>0</v>
      </c>
      <c r="I246" s="62">
        <f>ROUND(G246*AO246,2)</f>
      </c>
      <c r="J246" s="62">
        <f>ROUND(G246*AP246,2)</f>
      </c>
      <c r="K246" s="62">
        <f>ROUND(G246*H246,2)</f>
      </c>
      <c r="L246" s="62" t="n">
        <v>0</v>
      </c>
      <c r="M246" s="62" t="n">
        <v>0</v>
      </c>
      <c r="N246" s="62">
        <f>G246*M246</f>
      </c>
      <c r="O246" s="64" t="s">
        <v>63</v>
      </c>
      <c r="Z246" s="62">
        <f>ROUND(IF(AQ246="5",BJ246,0),2)</f>
      </c>
      <c r="AB246" s="62">
        <f>ROUND(IF(AQ246="1",BH246,0),2)</f>
      </c>
      <c r="AC246" s="62">
        <f>ROUND(IF(AQ246="1",BI246,0),2)</f>
      </c>
      <c r="AD246" s="62">
        <f>ROUND(IF(AQ246="7",BH246,0),2)</f>
      </c>
      <c r="AE246" s="62">
        <f>ROUND(IF(AQ246="7",BI246,0),2)</f>
      </c>
      <c r="AF246" s="62">
        <f>ROUND(IF(AQ246="2",BH246,0),2)</f>
      </c>
      <c r="AG246" s="62">
        <f>ROUND(IF(AQ246="2",BI246,0),2)</f>
      </c>
      <c r="AH246" s="62">
        <f>ROUND(IF(AQ246="0",BJ246,0),2)</f>
      </c>
      <c r="AI246" s="35" t="s">
        <v>55</v>
      </c>
      <c r="AJ246" s="62">
        <f>IF(AN246=0,K246,0)</f>
      </c>
      <c r="AK246" s="62">
        <f>IF(AN246=12,K246,0)</f>
      </c>
      <c r="AL246" s="62">
        <f>IF(AN246=21,K246,0)</f>
      </c>
      <c r="AN246" s="62" t="n">
        <v>21</v>
      </c>
      <c r="AO246" s="62">
        <f>H246*0</f>
      </c>
      <c r="AP246" s="62">
        <f>H246*(1-0)</f>
      </c>
      <c r="AQ246" s="65" t="s">
        <v>90</v>
      </c>
      <c r="AV246" s="62">
        <f>ROUND(AW246+AX246,2)</f>
      </c>
      <c r="AW246" s="62">
        <f>ROUND(G246*AO246,2)</f>
      </c>
      <c r="AX246" s="62">
        <f>ROUND(G246*AP246,2)</f>
      </c>
      <c r="AY246" s="65" t="s">
        <v>523</v>
      </c>
      <c r="AZ246" s="65" t="s">
        <v>380</v>
      </c>
      <c r="BA246" s="35" t="s">
        <v>66</v>
      </c>
      <c r="BC246" s="62">
        <f>AW246+AX246</f>
      </c>
      <c r="BD246" s="62">
        <f>H246/(100-BE246)*100</f>
      </c>
      <c r="BE246" s="62" t="n">
        <v>0</v>
      </c>
      <c r="BF246" s="62">
        <f>N246</f>
      </c>
      <c r="BH246" s="62">
        <f>G246*AO246</f>
      </c>
      <c r="BI246" s="62">
        <f>G246*AP246</f>
      </c>
      <c r="BJ246" s="62">
        <f>G246*H246</f>
      </c>
      <c r="BK246" s="65" t="s">
        <v>67</v>
      </c>
      <c r="BL246" s="62"/>
      <c r="BW246" s="62" t="n">
        <v>21</v>
      </c>
      <c r="BX246" s="16" t="s">
        <v>527</v>
      </c>
    </row>
    <row r="247">
      <c r="A247" s="66"/>
      <c r="D247" s="72" t="s">
        <v>528</v>
      </c>
      <c r="E247" s="73" t="s">
        <v>54</v>
      </c>
      <c r="G247" s="74" t="n">
        <v>6.42</v>
      </c>
      <c r="O247" s="75"/>
    </row>
    <row r="248">
      <c r="A248" s="10" t="s">
        <v>410</v>
      </c>
      <c r="B248" s="11" t="s">
        <v>55</v>
      </c>
      <c r="C248" s="11" t="s">
        <v>529</v>
      </c>
      <c r="D248" s="16" t="s">
        <v>530</v>
      </c>
      <c r="E248" s="11"/>
      <c r="F248" s="11" t="s">
        <v>515</v>
      </c>
      <c r="G248" s="62" t="n">
        <v>89.88</v>
      </c>
      <c r="H248" s="63" t="n">
        <v>0</v>
      </c>
      <c r="I248" s="62">
        <f>ROUND(G248*AO248,2)</f>
      </c>
      <c r="J248" s="62">
        <f>ROUND(G248*AP248,2)</f>
      </c>
      <c r="K248" s="62">
        <f>ROUND(G248*H248,2)</f>
      </c>
      <c r="L248" s="62" t="n">
        <v>0</v>
      </c>
      <c r="M248" s="62" t="n">
        <v>0</v>
      </c>
      <c r="N248" s="62">
        <f>G248*M248</f>
      </c>
      <c r="O248" s="64" t="s">
        <v>63</v>
      </c>
      <c r="Z248" s="62">
        <f>ROUND(IF(AQ248="5",BJ248,0),2)</f>
      </c>
      <c r="AB248" s="62">
        <f>ROUND(IF(AQ248="1",BH248,0),2)</f>
      </c>
      <c r="AC248" s="62">
        <f>ROUND(IF(AQ248="1",BI248,0),2)</f>
      </c>
      <c r="AD248" s="62">
        <f>ROUND(IF(AQ248="7",BH248,0),2)</f>
      </c>
      <c r="AE248" s="62">
        <f>ROUND(IF(AQ248="7",BI248,0),2)</f>
      </c>
      <c r="AF248" s="62">
        <f>ROUND(IF(AQ248="2",BH248,0),2)</f>
      </c>
      <c r="AG248" s="62">
        <f>ROUND(IF(AQ248="2",BI248,0),2)</f>
      </c>
      <c r="AH248" s="62">
        <f>ROUND(IF(AQ248="0",BJ248,0),2)</f>
      </c>
      <c r="AI248" s="35" t="s">
        <v>55</v>
      </c>
      <c r="AJ248" s="62">
        <f>IF(AN248=0,K248,0)</f>
      </c>
      <c r="AK248" s="62">
        <f>IF(AN248=12,K248,0)</f>
      </c>
      <c r="AL248" s="62">
        <f>IF(AN248=21,K248,0)</f>
      </c>
      <c r="AN248" s="62" t="n">
        <v>21</v>
      </c>
      <c r="AO248" s="62">
        <f>H248*0</f>
      </c>
      <c r="AP248" s="62">
        <f>H248*(1-0)</f>
      </c>
      <c r="AQ248" s="65" t="s">
        <v>90</v>
      </c>
      <c r="AV248" s="62">
        <f>ROUND(AW248+AX248,2)</f>
      </c>
      <c r="AW248" s="62">
        <f>ROUND(G248*AO248,2)</f>
      </c>
      <c r="AX248" s="62">
        <f>ROUND(G248*AP248,2)</f>
      </c>
      <c r="AY248" s="65" t="s">
        <v>523</v>
      </c>
      <c r="AZ248" s="65" t="s">
        <v>380</v>
      </c>
      <c r="BA248" s="35" t="s">
        <v>66</v>
      </c>
      <c r="BC248" s="62">
        <f>AW248+AX248</f>
      </c>
      <c r="BD248" s="62">
        <f>H248/(100-BE248)*100</f>
      </c>
      <c r="BE248" s="62" t="n">
        <v>0</v>
      </c>
      <c r="BF248" s="62">
        <f>N248</f>
      </c>
      <c r="BH248" s="62">
        <f>G248*AO248</f>
      </c>
      <c r="BI248" s="62">
        <f>G248*AP248</f>
      </c>
      <c r="BJ248" s="62">
        <f>G248*H248</f>
      </c>
      <c r="BK248" s="65" t="s">
        <v>67</v>
      </c>
      <c r="BL248" s="62"/>
      <c r="BW248" s="62" t="n">
        <v>21</v>
      </c>
      <c r="BX248" s="16" t="s">
        <v>530</v>
      </c>
    </row>
    <row r="249">
      <c r="A249" s="66"/>
      <c r="D249" s="72" t="s">
        <v>531</v>
      </c>
      <c r="E249" s="73" t="s">
        <v>54</v>
      </c>
      <c r="G249" s="74" t="n">
        <v>89.88</v>
      </c>
      <c r="O249" s="75"/>
    </row>
    <row r="250">
      <c r="A250" s="10" t="s">
        <v>436</v>
      </c>
      <c r="B250" s="11" t="s">
        <v>55</v>
      </c>
      <c r="C250" s="11" t="s">
        <v>532</v>
      </c>
      <c r="D250" s="16" t="s">
        <v>533</v>
      </c>
      <c r="E250" s="11"/>
      <c r="F250" s="11" t="s">
        <v>515</v>
      </c>
      <c r="G250" s="62" t="n">
        <v>6.42</v>
      </c>
      <c r="H250" s="63" t="n">
        <v>0</v>
      </c>
      <c r="I250" s="62">
        <f>ROUND(G250*AO250,2)</f>
      </c>
      <c r="J250" s="62">
        <f>ROUND(G250*AP250,2)</f>
      </c>
      <c r="K250" s="62">
        <f>ROUND(G250*H250,2)</f>
      </c>
      <c r="L250" s="62" t="n">
        <v>0</v>
      </c>
      <c r="M250" s="62" t="n">
        <v>0</v>
      </c>
      <c r="N250" s="62">
        <f>G250*M250</f>
      </c>
      <c r="O250" s="64" t="s">
        <v>63</v>
      </c>
      <c r="Z250" s="62">
        <f>ROUND(IF(AQ250="5",BJ250,0),2)</f>
      </c>
      <c r="AB250" s="62">
        <f>ROUND(IF(AQ250="1",BH250,0),2)</f>
      </c>
      <c r="AC250" s="62">
        <f>ROUND(IF(AQ250="1",BI250,0),2)</f>
      </c>
      <c r="AD250" s="62">
        <f>ROUND(IF(AQ250="7",BH250,0),2)</f>
      </c>
      <c r="AE250" s="62">
        <f>ROUND(IF(AQ250="7",BI250,0),2)</f>
      </c>
      <c r="AF250" s="62">
        <f>ROUND(IF(AQ250="2",BH250,0),2)</f>
      </c>
      <c r="AG250" s="62">
        <f>ROUND(IF(AQ250="2",BI250,0),2)</f>
      </c>
      <c r="AH250" s="62">
        <f>ROUND(IF(AQ250="0",BJ250,0),2)</f>
      </c>
      <c r="AI250" s="35" t="s">
        <v>55</v>
      </c>
      <c r="AJ250" s="62">
        <f>IF(AN250=0,K250,0)</f>
      </c>
      <c r="AK250" s="62">
        <f>IF(AN250=12,K250,0)</f>
      </c>
      <c r="AL250" s="62">
        <f>IF(AN250=21,K250,0)</f>
      </c>
      <c r="AN250" s="62" t="n">
        <v>21</v>
      </c>
      <c r="AO250" s="62">
        <f>H250*0</f>
      </c>
      <c r="AP250" s="62">
        <f>H250*(1-0)</f>
      </c>
      <c r="AQ250" s="65" t="s">
        <v>90</v>
      </c>
      <c r="AV250" s="62">
        <f>ROUND(AW250+AX250,2)</f>
      </c>
      <c r="AW250" s="62">
        <f>ROUND(G250*AO250,2)</f>
      </c>
      <c r="AX250" s="62">
        <f>ROUND(G250*AP250,2)</f>
      </c>
      <c r="AY250" s="65" t="s">
        <v>523</v>
      </c>
      <c r="AZ250" s="65" t="s">
        <v>380</v>
      </c>
      <c r="BA250" s="35" t="s">
        <v>66</v>
      </c>
      <c r="BC250" s="62">
        <f>AW250+AX250</f>
      </c>
      <c r="BD250" s="62">
        <f>H250/(100-BE250)*100</f>
      </c>
      <c r="BE250" s="62" t="n">
        <v>0</v>
      </c>
      <c r="BF250" s="62">
        <f>N250</f>
      </c>
      <c r="BH250" s="62">
        <f>G250*AO250</f>
      </c>
      <c r="BI250" s="62">
        <f>G250*AP250</f>
      </c>
      <c r="BJ250" s="62">
        <f>G250*H250</f>
      </c>
      <c r="BK250" s="65" t="s">
        <v>67</v>
      </c>
      <c r="BL250" s="62"/>
      <c r="BW250" s="62" t="n">
        <v>21</v>
      </c>
      <c r="BX250" s="16" t="s">
        <v>533</v>
      </c>
    </row>
    <row r="251">
      <c r="A251" s="10" t="s">
        <v>470</v>
      </c>
      <c r="B251" s="11" t="s">
        <v>55</v>
      </c>
      <c r="C251" s="11" t="s">
        <v>534</v>
      </c>
      <c r="D251" s="16" t="s">
        <v>535</v>
      </c>
      <c r="E251" s="11"/>
      <c r="F251" s="11" t="s">
        <v>515</v>
      </c>
      <c r="G251" s="62" t="n">
        <v>0.57</v>
      </c>
      <c r="H251" s="63" t="n">
        <v>0</v>
      </c>
      <c r="I251" s="62">
        <f>ROUND(G251*AO251,2)</f>
      </c>
      <c r="J251" s="62">
        <f>ROUND(G251*AP251,2)</f>
      </c>
      <c r="K251" s="62">
        <f>ROUND(G251*H251,2)</f>
      </c>
      <c r="L251" s="62" t="n">
        <v>0</v>
      </c>
      <c r="M251" s="62" t="n">
        <v>0</v>
      </c>
      <c r="N251" s="62">
        <f>G251*M251</f>
      </c>
      <c r="O251" s="64" t="s">
        <v>63</v>
      </c>
      <c r="Z251" s="62">
        <f>ROUND(IF(AQ251="5",BJ251,0),2)</f>
      </c>
      <c r="AB251" s="62">
        <f>ROUND(IF(AQ251="1",BH251,0),2)</f>
      </c>
      <c r="AC251" s="62">
        <f>ROUND(IF(AQ251="1",BI251,0),2)</f>
      </c>
      <c r="AD251" s="62">
        <f>ROUND(IF(AQ251="7",BH251,0),2)</f>
      </c>
      <c r="AE251" s="62">
        <f>ROUND(IF(AQ251="7",BI251,0),2)</f>
      </c>
      <c r="AF251" s="62">
        <f>ROUND(IF(AQ251="2",BH251,0),2)</f>
      </c>
      <c r="AG251" s="62">
        <f>ROUND(IF(AQ251="2",BI251,0),2)</f>
      </c>
      <c r="AH251" s="62">
        <f>ROUND(IF(AQ251="0",BJ251,0),2)</f>
      </c>
      <c r="AI251" s="35" t="s">
        <v>55</v>
      </c>
      <c r="AJ251" s="62">
        <f>IF(AN251=0,K251,0)</f>
      </c>
      <c r="AK251" s="62">
        <f>IF(AN251=12,K251,0)</f>
      </c>
      <c r="AL251" s="62">
        <f>IF(AN251=21,K251,0)</f>
      </c>
      <c r="AN251" s="62" t="n">
        <v>21</v>
      </c>
      <c r="AO251" s="62">
        <f>H251*0</f>
      </c>
      <c r="AP251" s="62">
        <f>H251*(1-0)</f>
      </c>
      <c r="AQ251" s="65" t="s">
        <v>90</v>
      </c>
      <c r="AV251" s="62">
        <f>ROUND(AW251+AX251,2)</f>
      </c>
      <c r="AW251" s="62">
        <f>ROUND(G251*AO251,2)</f>
      </c>
      <c r="AX251" s="62">
        <f>ROUND(G251*AP251,2)</f>
      </c>
      <c r="AY251" s="65" t="s">
        <v>523</v>
      </c>
      <c r="AZ251" s="65" t="s">
        <v>380</v>
      </c>
      <c r="BA251" s="35" t="s">
        <v>66</v>
      </c>
      <c r="BC251" s="62">
        <f>AW251+AX251</f>
      </c>
      <c r="BD251" s="62">
        <f>H251/(100-BE251)*100</f>
      </c>
      <c r="BE251" s="62" t="n">
        <v>0</v>
      </c>
      <c r="BF251" s="62">
        <f>N251</f>
      </c>
      <c r="BH251" s="62">
        <f>G251*AO251</f>
      </c>
      <c r="BI251" s="62">
        <f>G251*AP251</f>
      </c>
      <c r="BJ251" s="62">
        <f>G251*H251</f>
      </c>
      <c r="BK251" s="65" t="s">
        <v>67</v>
      </c>
      <c r="BL251" s="62"/>
      <c r="BW251" s="62" t="n">
        <v>21</v>
      </c>
      <c r="BX251" s="16" t="s">
        <v>535</v>
      </c>
    </row>
    <row r="252" ht="24.75">
      <c r="A252" s="10" t="s">
        <v>536</v>
      </c>
      <c r="B252" s="11" t="s">
        <v>55</v>
      </c>
      <c r="C252" s="11" t="s">
        <v>537</v>
      </c>
      <c r="D252" s="16" t="s">
        <v>538</v>
      </c>
      <c r="E252" s="11"/>
      <c r="F252" s="11" t="s">
        <v>515</v>
      </c>
      <c r="G252" s="62" t="n">
        <v>5.85</v>
      </c>
      <c r="H252" s="63" t="n">
        <v>0</v>
      </c>
      <c r="I252" s="62">
        <f>ROUND(G252*AO252,2)</f>
      </c>
      <c r="J252" s="62">
        <f>ROUND(G252*AP252,2)</f>
      </c>
      <c r="K252" s="62">
        <f>ROUND(G252*H252,2)</f>
      </c>
      <c r="L252" s="62" t="n">
        <v>0</v>
      </c>
      <c r="M252" s="62" t="n">
        <v>0</v>
      </c>
      <c r="N252" s="62">
        <f>G252*M252</f>
      </c>
      <c r="O252" s="64" t="s">
        <v>63</v>
      </c>
      <c r="Z252" s="62">
        <f>ROUND(IF(AQ252="5",BJ252,0),2)</f>
      </c>
      <c r="AB252" s="62">
        <f>ROUND(IF(AQ252="1",BH252,0),2)</f>
      </c>
      <c r="AC252" s="62">
        <f>ROUND(IF(AQ252="1",BI252,0),2)</f>
      </c>
      <c r="AD252" s="62">
        <f>ROUND(IF(AQ252="7",BH252,0),2)</f>
      </c>
      <c r="AE252" s="62">
        <f>ROUND(IF(AQ252="7",BI252,0),2)</f>
      </c>
      <c r="AF252" s="62">
        <f>ROUND(IF(AQ252="2",BH252,0),2)</f>
      </c>
      <c r="AG252" s="62">
        <f>ROUND(IF(AQ252="2",BI252,0),2)</f>
      </c>
      <c r="AH252" s="62">
        <f>ROUND(IF(AQ252="0",BJ252,0),2)</f>
      </c>
      <c r="AI252" s="35" t="s">
        <v>55</v>
      </c>
      <c r="AJ252" s="62">
        <f>IF(AN252=0,K252,0)</f>
      </c>
      <c r="AK252" s="62">
        <f>IF(AN252=12,K252,0)</f>
      </c>
      <c r="AL252" s="62">
        <f>IF(AN252=21,K252,0)</f>
      </c>
      <c r="AN252" s="62" t="n">
        <v>21</v>
      </c>
      <c r="AO252" s="62">
        <f>H252*0</f>
      </c>
      <c r="AP252" s="62">
        <f>H252*(1-0)</f>
      </c>
      <c r="AQ252" s="65" t="s">
        <v>90</v>
      </c>
      <c r="AV252" s="62">
        <f>ROUND(AW252+AX252,2)</f>
      </c>
      <c r="AW252" s="62">
        <f>ROUND(G252*AO252,2)</f>
      </c>
      <c r="AX252" s="62">
        <f>ROUND(G252*AP252,2)</f>
      </c>
      <c r="AY252" s="65" t="s">
        <v>523</v>
      </c>
      <c r="AZ252" s="65" t="s">
        <v>380</v>
      </c>
      <c r="BA252" s="35" t="s">
        <v>66</v>
      </c>
      <c r="BC252" s="62">
        <f>AW252+AX252</f>
      </c>
      <c r="BD252" s="62">
        <f>H252/(100-BE252)*100</f>
      </c>
      <c r="BE252" s="62" t="n">
        <v>0</v>
      </c>
      <c r="BF252" s="62">
        <f>N252</f>
      </c>
      <c r="BH252" s="62">
        <f>G252*AO252</f>
      </c>
      <c r="BI252" s="62">
        <f>G252*AP252</f>
      </c>
      <c r="BJ252" s="62">
        <f>G252*H252</f>
      </c>
      <c r="BK252" s="65" t="s">
        <v>67</v>
      </c>
      <c r="BL252" s="62"/>
      <c r="BW252" s="62" t="n">
        <v>21</v>
      </c>
      <c r="BX252" s="16" t="s">
        <v>538</v>
      </c>
    </row>
    <row r="253">
      <c r="A253" s="66"/>
      <c r="D253" s="72" t="s">
        <v>525</v>
      </c>
      <c r="E253" s="73" t="s">
        <v>54</v>
      </c>
      <c r="G253" s="74" t="n">
        <v>5.85</v>
      </c>
      <c r="O253" s="75"/>
    </row>
    <row r="254">
      <c r="A254" s="56" t="s">
        <v>54</v>
      </c>
      <c r="B254" s="57" t="s">
        <v>55</v>
      </c>
      <c r="C254" s="57" t="s">
        <v>539</v>
      </c>
      <c r="D254" s="58" t="s">
        <v>540</v>
      </c>
      <c r="E254" s="57"/>
      <c r="F254" s="59" t="s">
        <v>4</v>
      </c>
      <c r="G254" s="59" t="s">
        <v>4</v>
      </c>
      <c r="H254" s="60" t="s">
        <v>4</v>
      </c>
      <c r="I254" s="2">
        <f>SUM(I255:I270)</f>
      </c>
      <c r="J254" s="2">
        <f>SUM(J255:J270)</f>
      </c>
      <c r="K254" s="2">
        <f>SUM(K255:K270)</f>
      </c>
      <c r="L254" s="35" t="s">
        <v>54</v>
      </c>
      <c r="M254" s="35" t="s">
        <v>54</v>
      </c>
      <c r="N254" s="2">
        <f>SUM(N255:N270)</f>
      </c>
      <c r="O254" s="61" t="s">
        <v>54</v>
      </c>
      <c r="AI254" s="35" t="s">
        <v>55</v>
      </c>
      <c r="AS254" s="2">
        <f>SUM(AJ255:AJ270)</f>
      </c>
      <c r="AT254" s="2">
        <f>SUM(AK255:AK270)</f>
      </c>
      <c r="AU254" s="2">
        <f>SUM(AL255:AL270)</f>
      </c>
    </row>
    <row r="255">
      <c r="A255" s="10" t="s">
        <v>541</v>
      </c>
      <c r="B255" s="11" t="s">
        <v>55</v>
      </c>
      <c r="C255" s="11" t="s">
        <v>542</v>
      </c>
      <c r="D255" s="16" t="s">
        <v>543</v>
      </c>
      <c r="E255" s="11"/>
      <c r="F255" s="11" t="s">
        <v>103</v>
      </c>
      <c r="G255" s="62" t="n">
        <v>2</v>
      </c>
      <c r="H255" s="63" t="n">
        <v>0</v>
      </c>
      <c r="I255" s="62">
        <f>ROUND(G255*AO255,2)</f>
      </c>
      <c r="J255" s="62">
        <f>ROUND(G255*AP255,2)</f>
      </c>
      <c r="K255" s="62">
        <f>ROUND(G255*H255,2)</f>
      </c>
      <c r="L255" s="62" t="n">
        <v>0.02</v>
      </c>
      <c r="M255" s="62" t="n">
        <v>0.02</v>
      </c>
      <c r="N255" s="62">
        <f>G255*M255</f>
      </c>
      <c r="O255" s="64" t="s">
        <v>63</v>
      </c>
      <c r="Z255" s="62">
        <f>ROUND(IF(AQ255="5",BJ255,0),2)</f>
      </c>
      <c r="AB255" s="62">
        <f>ROUND(IF(AQ255="1",BH255,0),2)</f>
      </c>
      <c r="AC255" s="62">
        <f>ROUND(IF(AQ255="1",BI255,0),2)</f>
      </c>
      <c r="AD255" s="62">
        <f>ROUND(IF(AQ255="7",BH255,0),2)</f>
      </c>
      <c r="AE255" s="62">
        <f>ROUND(IF(AQ255="7",BI255,0),2)</f>
      </c>
      <c r="AF255" s="62">
        <f>ROUND(IF(AQ255="2",BH255,0),2)</f>
      </c>
      <c r="AG255" s="62">
        <f>ROUND(IF(AQ255="2",BI255,0),2)</f>
      </c>
      <c r="AH255" s="62">
        <f>ROUND(IF(AQ255="0",BJ255,0),2)</f>
      </c>
      <c r="AI255" s="35" t="s">
        <v>55</v>
      </c>
      <c r="AJ255" s="62">
        <f>IF(AN255=0,K255,0)</f>
      </c>
      <c r="AK255" s="62">
        <f>IF(AN255=12,K255,0)</f>
      </c>
      <c r="AL255" s="62">
        <f>IF(AN255=21,K255,0)</f>
      </c>
      <c r="AN255" s="62" t="n">
        <v>21</v>
      </c>
      <c r="AO255" s="62">
        <f>H255*1</f>
      </c>
      <c r="AP255" s="62">
        <f>H255*(1-1)</f>
      </c>
      <c r="AQ255" s="65" t="s">
        <v>544</v>
      </c>
      <c r="AV255" s="62">
        <f>ROUND(AW255+AX255,2)</f>
      </c>
      <c r="AW255" s="62">
        <f>ROUND(G255*AO255,2)</f>
      </c>
      <c r="AX255" s="62">
        <f>ROUND(G255*AP255,2)</f>
      </c>
      <c r="AY255" s="65" t="s">
        <v>545</v>
      </c>
      <c r="AZ255" s="65" t="s">
        <v>546</v>
      </c>
      <c r="BA255" s="35" t="s">
        <v>66</v>
      </c>
      <c r="BC255" s="62">
        <f>AW255+AX255</f>
      </c>
      <c r="BD255" s="62">
        <f>H255/(100-BE255)*100</f>
      </c>
      <c r="BE255" s="62" t="n">
        <v>0</v>
      </c>
      <c r="BF255" s="62">
        <f>N255</f>
      </c>
      <c r="BH255" s="62">
        <f>G255*AO255</f>
      </c>
      <c r="BI255" s="62">
        <f>G255*AP255</f>
      </c>
      <c r="BJ255" s="62">
        <f>G255*H255</f>
      </c>
      <c r="BK255" s="65" t="s">
        <v>539</v>
      </c>
      <c r="BL255" s="62"/>
      <c r="BW255" s="62" t="n">
        <v>21</v>
      </c>
      <c r="BX255" s="16" t="s">
        <v>543</v>
      </c>
    </row>
    <row r="256">
      <c r="A256" s="10" t="s">
        <v>547</v>
      </c>
      <c r="B256" s="11" t="s">
        <v>55</v>
      </c>
      <c r="C256" s="11" t="s">
        <v>548</v>
      </c>
      <c r="D256" s="16" t="s">
        <v>549</v>
      </c>
      <c r="E256" s="11"/>
      <c r="F256" s="11" t="s">
        <v>114</v>
      </c>
      <c r="G256" s="62" t="n">
        <v>1.2</v>
      </c>
      <c r="H256" s="63" t="n">
        <v>0</v>
      </c>
      <c r="I256" s="62">
        <f>ROUND(G256*AO256,2)</f>
      </c>
      <c r="J256" s="62">
        <f>ROUND(G256*AP256,2)</f>
      </c>
      <c r="K256" s="62">
        <f>ROUND(G256*H256,2)</f>
      </c>
      <c r="L256" s="62" t="n">
        <v>0.0225</v>
      </c>
      <c r="M256" s="62" t="n">
        <v>0.0225</v>
      </c>
      <c r="N256" s="62">
        <f>G256*M256</f>
      </c>
      <c r="O256" s="64" t="s">
        <v>63</v>
      </c>
      <c r="Z256" s="62">
        <f>ROUND(IF(AQ256="5",BJ256,0),2)</f>
      </c>
      <c r="AB256" s="62">
        <f>ROUND(IF(AQ256="1",BH256,0),2)</f>
      </c>
      <c r="AC256" s="62">
        <f>ROUND(IF(AQ256="1",BI256,0),2)</f>
      </c>
      <c r="AD256" s="62">
        <f>ROUND(IF(AQ256="7",BH256,0),2)</f>
      </c>
      <c r="AE256" s="62">
        <f>ROUND(IF(AQ256="7",BI256,0),2)</f>
      </c>
      <c r="AF256" s="62">
        <f>ROUND(IF(AQ256="2",BH256,0),2)</f>
      </c>
      <c r="AG256" s="62">
        <f>ROUND(IF(AQ256="2",BI256,0),2)</f>
      </c>
      <c r="AH256" s="62">
        <f>ROUND(IF(AQ256="0",BJ256,0),2)</f>
      </c>
      <c r="AI256" s="35" t="s">
        <v>55</v>
      </c>
      <c r="AJ256" s="62">
        <f>IF(AN256=0,K256,0)</f>
      </c>
      <c r="AK256" s="62">
        <f>IF(AN256=12,K256,0)</f>
      </c>
      <c r="AL256" s="62">
        <f>IF(AN256=21,K256,0)</f>
      </c>
      <c r="AN256" s="62" t="n">
        <v>21</v>
      </c>
      <c r="AO256" s="62">
        <f>H256*1</f>
      </c>
      <c r="AP256" s="62">
        <f>H256*(1-1)</f>
      </c>
      <c r="AQ256" s="65" t="s">
        <v>544</v>
      </c>
      <c r="AV256" s="62">
        <f>ROUND(AW256+AX256,2)</f>
      </c>
      <c r="AW256" s="62">
        <f>ROUND(G256*AO256,2)</f>
      </c>
      <c r="AX256" s="62">
        <f>ROUND(G256*AP256,2)</f>
      </c>
      <c r="AY256" s="65" t="s">
        <v>545</v>
      </c>
      <c r="AZ256" s="65" t="s">
        <v>546</v>
      </c>
      <c r="BA256" s="35" t="s">
        <v>66</v>
      </c>
      <c r="BC256" s="62">
        <f>AW256+AX256</f>
      </c>
      <c r="BD256" s="62">
        <f>H256/(100-BE256)*100</f>
      </c>
      <c r="BE256" s="62" t="n">
        <v>0</v>
      </c>
      <c r="BF256" s="62">
        <f>N256</f>
      </c>
      <c r="BH256" s="62">
        <f>G256*AO256</f>
      </c>
      <c r="BI256" s="62">
        <f>G256*AP256</f>
      </c>
      <c r="BJ256" s="62">
        <f>G256*H256</f>
      </c>
      <c r="BK256" s="65" t="s">
        <v>539</v>
      </c>
      <c r="BL256" s="62"/>
      <c r="BW256" s="62" t="n">
        <v>21</v>
      </c>
      <c r="BX256" s="16" t="s">
        <v>549</v>
      </c>
    </row>
    <row r="257">
      <c r="A257" s="66"/>
      <c r="D257" s="72" t="s">
        <v>550</v>
      </c>
      <c r="E257" s="73" t="s">
        <v>54</v>
      </c>
      <c r="G257" s="74" t="n">
        <v>1.2</v>
      </c>
      <c r="O257" s="75"/>
    </row>
    <row r="258">
      <c r="A258" s="10" t="s">
        <v>551</v>
      </c>
      <c r="B258" s="11" t="s">
        <v>55</v>
      </c>
      <c r="C258" s="11" t="s">
        <v>552</v>
      </c>
      <c r="D258" s="16" t="s">
        <v>553</v>
      </c>
      <c r="E258" s="11"/>
      <c r="F258" s="11" t="s">
        <v>103</v>
      </c>
      <c r="G258" s="62" t="n">
        <v>1</v>
      </c>
      <c r="H258" s="63" t="n">
        <v>0</v>
      </c>
      <c r="I258" s="62">
        <f>ROUND(G258*AO258,2)</f>
      </c>
      <c r="J258" s="62">
        <f>ROUND(G258*AP258,2)</f>
      </c>
      <c r="K258" s="62">
        <f>ROUND(G258*H258,2)</f>
      </c>
      <c r="L258" s="62" t="n">
        <v>0.25</v>
      </c>
      <c r="M258" s="62" t="n">
        <v>0.25</v>
      </c>
      <c r="N258" s="62">
        <f>G258*M258</f>
      </c>
      <c r="O258" s="64" t="s">
        <v>554</v>
      </c>
      <c r="Z258" s="62">
        <f>ROUND(IF(AQ258="5",BJ258,0),2)</f>
      </c>
      <c r="AB258" s="62">
        <f>ROUND(IF(AQ258="1",BH258,0),2)</f>
      </c>
      <c r="AC258" s="62">
        <f>ROUND(IF(AQ258="1",BI258,0),2)</f>
      </c>
      <c r="AD258" s="62">
        <f>ROUND(IF(AQ258="7",BH258,0),2)</f>
      </c>
      <c r="AE258" s="62">
        <f>ROUND(IF(AQ258="7",BI258,0),2)</f>
      </c>
      <c r="AF258" s="62">
        <f>ROUND(IF(AQ258="2",BH258,0),2)</f>
      </c>
      <c r="AG258" s="62">
        <f>ROUND(IF(AQ258="2",BI258,0),2)</f>
      </c>
      <c r="AH258" s="62">
        <f>ROUND(IF(AQ258="0",BJ258,0),2)</f>
      </c>
      <c r="AI258" s="35" t="s">
        <v>55</v>
      </c>
      <c r="AJ258" s="62">
        <f>IF(AN258=0,K258,0)</f>
      </c>
      <c r="AK258" s="62">
        <f>IF(AN258=12,K258,0)</f>
      </c>
      <c r="AL258" s="62">
        <f>IF(AN258=21,K258,0)</f>
      </c>
      <c r="AN258" s="62" t="n">
        <v>21</v>
      </c>
      <c r="AO258" s="62">
        <f>H258*1</f>
      </c>
      <c r="AP258" s="62">
        <f>H258*(1-1)</f>
      </c>
      <c r="AQ258" s="65" t="s">
        <v>544</v>
      </c>
      <c r="AV258" s="62">
        <f>ROUND(AW258+AX258,2)</f>
      </c>
      <c r="AW258" s="62">
        <f>ROUND(G258*AO258,2)</f>
      </c>
      <c r="AX258" s="62">
        <f>ROUND(G258*AP258,2)</f>
      </c>
      <c r="AY258" s="65" t="s">
        <v>545</v>
      </c>
      <c r="AZ258" s="65" t="s">
        <v>546</v>
      </c>
      <c r="BA258" s="35" t="s">
        <v>66</v>
      </c>
      <c r="BC258" s="62">
        <f>AW258+AX258</f>
      </c>
      <c r="BD258" s="62">
        <f>H258/(100-BE258)*100</f>
      </c>
      <c r="BE258" s="62" t="n">
        <v>0</v>
      </c>
      <c r="BF258" s="62">
        <f>N258</f>
      </c>
      <c r="BH258" s="62">
        <f>G258*AO258</f>
      </c>
      <c r="BI258" s="62">
        <f>G258*AP258</f>
      </c>
      <c r="BJ258" s="62">
        <f>G258*H258</f>
      </c>
      <c r="BK258" s="65" t="s">
        <v>539</v>
      </c>
      <c r="BL258" s="62"/>
      <c r="BW258" s="62" t="n">
        <v>21</v>
      </c>
      <c r="BX258" s="16" t="s">
        <v>553</v>
      </c>
    </row>
    <row r="259" customHeight="true" ht="13.5">
      <c r="A259" s="66"/>
      <c r="C259" s="76" t="s">
        <v>71</v>
      </c>
      <c r="D259" s="77" t="s">
        <v>555</v>
      </c>
      <c r="E259" s="78"/>
      <c r="F259" s="78"/>
      <c r="G259" s="78"/>
      <c r="H259" s="79"/>
      <c r="I259" s="78"/>
      <c r="J259" s="78"/>
      <c r="K259" s="78"/>
      <c r="L259" s="78"/>
      <c r="M259" s="78"/>
      <c r="N259" s="78"/>
      <c r="O259" s="80"/>
    </row>
    <row r="260">
      <c r="A260" s="10" t="s">
        <v>556</v>
      </c>
      <c r="B260" s="11" t="s">
        <v>55</v>
      </c>
      <c r="C260" s="11" t="s">
        <v>557</v>
      </c>
      <c r="D260" s="16" t="s">
        <v>558</v>
      </c>
      <c r="E260" s="11"/>
      <c r="F260" s="11" t="s">
        <v>103</v>
      </c>
      <c r="G260" s="62" t="n">
        <v>1</v>
      </c>
      <c r="H260" s="63" t="n">
        <v>0</v>
      </c>
      <c r="I260" s="62">
        <f>ROUND(G260*AO260,2)</f>
      </c>
      <c r="J260" s="62">
        <f>ROUND(G260*AP260,2)</f>
      </c>
      <c r="K260" s="62">
        <f>ROUND(G260*H260,2)</f>
      </c>
      <c r="L260" s="62" t="n">
        <v>0</v>
      </c>
      <c r="M260" s="62" t="n">
        <v>0</v>
      </c>
      <c r="N260" s="62">
        <f>G260*M260</f>
      </c>
      <c r="O260" s="64" t="s">
        <v>63</v>
      </c>
      <c r="Z260" s="62">
        <f>ROUND(IF(AQ260="5",BJ260,0),2)</f>
      </c>
      <c r="AB260" s="62">
        <f>ROUND(IF(AQ260="1",BH260,0),2)</f>
      </c>
      <c r="AC260" s="62">
        <f>ROUND(IF(AQ260="1",BI260,0),2)</f>
      </c>
      <c r="AD260" s="62">
        <f>ROUND(IF(AQ260="7",BH260,0),2)</f>
      </c>
      <c r="AE260" s="62">
        <f>ROUND(IF(AQ260="7",BI260,0),2)</f>
      </c>
      <c r="AF260" s="62">
        <f>ROUND(IF(AQ260="2",BH260,0),2)</f>
      </c>
      <c r="AG260" s="62">
        <f>ROUND(IF(AQ260="2",BI260,0),2)</f>
      </c>
      <c r="AH260" s="62">
        <f>ROUND(IF(AQ260="0",BJ260,0),2)</f>
      </c>
      <c r="AI260" s="35" t="s">
        <v>55</v>
      </c>
      <c r="AJ260" s="62">
        <f>IF(AN260=0,K260,0)</f>
      </c>
      <c r="AK260" s="62">
        <f>IF(AN260=12,K260,0)</f>
      </c>
      <c r="AL260" s="62">
        <f>IF(AN260=21,K260,0)</f>
      </c>
      <c r="AN260" s="62" t="n">
        <v>21</v>
      </c>
      <c r="AO260" s="62">
        <f>H260*1</f>
      </c>
      <c r="AP260" s="62">
        <f>H260*(1-1)</f>
      </c>
      <c r="AQ260" s="65" t="s">
        <v>544</v>
      </c>
      <c r="AV260" s="62">
        <f>ROUND(AW260+AX260,2)</f>
      </c>
      <c r="AW260" s="62">
        <f>ROUND(G260*AO260,2)</f>
      </c>
      <c r="AX260" s="62">
        <f>ROUND(G260*AP260,2)</f>
      </c>
      <c r="AY260" s="65" t="s">
        <v>545</v>
      </c>
      <c r="AZ260" s="65" t="s">
        <v>546</v>
      </c>
      <c r="BA260" s="35" t="s">
        <v>66</v>
      </c>
      <c r="BC260" s="62">
        <f>AW260+AX260</f>
      </c>
      <c r="BD260" s="62">
        <f>H260/(100-BE260)*100</f>
      </c>
      <c r="BE260" s="62" t="n">
        <v>0</v>
      </c>
      <c r="BF260" s="62">
        <f>N260</f>
      </c>
      <c r="BH260" s="62">
        <f>G260*AO260</f>
      </c>
      <c r="BI260" s="62">
        <f>G260*AP260</f>
      </c>
      <c r="BJ260" s="62">
        <f>G260*H260</f>
      </c>
      <c r="BK260" s="65" t="s">
        <v>539</v>
      </c>
      <c r="BL260" s="62"/>
      <c r="BW260" s="62" t="n">
        <v>21</v>
      </c>
      <c r="BX260" s="16" t="s">
        <v>558</v>
      </c>
    </row>
    <row r="261">
      <c r="A261" s="10" t="s">
        <v>559</v>
      </c>
      <c r="B261" s="11" t="s">
        <v>55</v>
      </c>
      <c r="C261" s="11" t="s">
        <v>560</v>
      </c>
      <c r="D261" s="16" t="s">
        <v>561</v>
      </c>
      <c r="E261" s="11"/>
      <c r="F261" s="11" t="s">
        <v>103</v>
      </c>
      <c r="G261" s="62" t="n">
        <v>2</v>
      </c>
      <c r="H261" s="63" t="n">
        <v>0</v>
      </c>
      <c r="I261" s="62">
        <f>ROUND(G261*AO261,2)</f>
      </c>
      <c r="J261" s="62">
        <f>ROUND(G261*AP261,2)</f>
      </c>
      <c r="K261" s="62">
        <f>ROUND(G261*H261,2)</f>
      </c>
      <c r="L261" s="62" t="n">
        <v>0</v>
      </c>
      <c r="M261" s="62" t="n">
        <v>0</v>
      </c>
      <c r="N261" s="62">
        <f>G261*M261</f>
      </c>
      <c r="O261" s="64" t="s">
        <v>554</v>
      </c>
      <c r="Z261" s="62">
        <f>ROUND(IF(AQ261="5",BJ261,0),2)</f>
      </c>
      <c r="AB261" s="62">
        <f>ROUND(IF(AQ261="1",BH261,0),2)</f>
      </c>
      <c r="AC261" s="62">
        <f>ROUND(IF(AQ261="1",BI261,0),2)</f>
      </c>
      <c r="AD261" s="62">
        <f>ROUND(IF(AQ261="7",BH261,0),2)</f>
      </c>
      <c r="AE261" s="62">
        <f>ROUND(IF(AQ261="7",BI261,0),2)</f>
      </c>
      <c r="AF261" s="62">
        <f>ROUND(IF(AQ261="2",BH261,0),2)</f>
      </c>
      <c r="AG261" s="62">
        <f>ROUND(IF(AQ261="2",BI261,0),2)</f>
      </c>
      <c r="AH261" s="62">
        <f>ROUND(IF(AQ261="0",BJ261,0),2)</f>
      </c>
      <c r="AI261" s="35" t="s">
        <v>55</v>
      </c>
      <c r="AJ261" s="62">
        <f>IF(AN261=0,K261,0)</f>
      </c>
      <c r="AK261" s="62">
        <f>IF(AN261=12,K261,0)</f>
      </c>
      <c r="AL261" s="62">
        <f>IF(AN261=21,K261,0)</f>
      </c>
      <c r="AN261" s="62" t="n">
        <v>21</v>
      </c>
      <c r="AO261" s="62">
        <f>H261*1</f>
      </c>
      <c r="AP261" s="62">
        <f>H261*(1-1)</f>
      </c>
      <c r="AQ261" s="65" t="s">
        <v>544</v>
      </c>
      <c r="AV261" s="62">
        <f>ROUND(AW261+AX261,2)</f>
      </c>
      <c r="AW261" s="62">
        <f>ROUND(G261*AO261,2)</f>
      </c>
      <c r="AX261" s="62">
        <f>ROUND(G261*AP261,2)</f>
      </c>
      <c r="AY261" s="65" t="s">
        <v>545</v>
      </c>
      <c r="AZ261" s="65" t="s">
        <v>546</v>
      </c>
      <c r="BA261" s="35" t="s">
        <v>66</v>
      </c>
      <c r="BC261" s="62">
        <f>AW261+AX261</f>
      </c>
      <c r="BD261" s="62">
        <f>H261/(100-BE261)*100</f>
      </c>
      <c r="BE261" s="62" t="n">
        <v>0</v>
      </c>
      <c r="BF261" s="62">
        <f>N261</f>
      </c>
      <c r="BH261" s="62">
        <f>G261*AO261</f>
      </c>
      <c r="BI261" s="62">
        <f>G261*AP261</f>
      </c>
      <c r="BJ261" s="62">
        <f>G261*H261</f>
      </c>
      <c r="BK261" s="65" t="s">
        <v>539</v>
      </c>
      <c r="BL261" s="62"/>
      <c r="BW261" s="62" t="n">
        <v>21</v>
      </c>
      <c r="BX261" s="16" t="s">
        <v>561</v>
      </c>
    </row>
    <row r="262">
      <c r="A262" s="10" t="s">
        <v>562</v>
      </c>
      <c r="B262" s="11" t="s">
        <v>55</v>
      </c>
      <c r="C262" s="11" t="s">
        <v>563</v>
      </c>
      <c r="D262" s="16" t="s">
        <v>564</v>
      </c>
      <c r="E262" s="11"/>
      <c r="F262" s="11" t="s">
        <v>103</v>
      </c>
      <c r="G262" s="62" t="n">
        <v>1</v>
      </c>
      <c r="H262" s="63" t="n">
        <v>0</v>
      </c>
      <c r="I262" s="62">
        <f>ROUND(G262*AO262,2)</f>
      </c>
      <c r="J262" s="62">
        <f>ROUND(G262*AP262,2)</f>
      </c>
      <c r="K262" s="62">
        <f>ROUND(G262*H262,2)</f>
      </c>
      <c r="L262" s="62" t="n">
        <v>0.0174</v>
      </c>
      <c r="M262" s="62" t="n">
        <v>0.0174</v>
      </c>
      <c r="N262" s="62">
        <f>G262*M262</f>
      </c>
      <c r="O262" s="64" t="s">
        <v>554</v>
      </c>
      <c r="Z262" s="62">
        <f>ROUND(IF(AQ262="5",BJ262,0),2)</f>
      </c>
      <c r="AB262" s="62">
        <f>ROUND(IF(AQ262="1",BH262,0),2)</f>
      </c>
      <c r="AC262" s="62">
        <f>ROUND(IF(AQ262="1",BI262,0),2)</f>
      </c>
      <c r="AD262" s="62">
        <f>ROUND(IF(AQ262="7",BH262,0),2)</f>
      </c>
      <c r="AE262" s="62">
        <f>ROUND(IF(AQ262="7",BI262,0),2)</f>
      </c>
      <c r="AF262" s="62">
        <f>ROUND(IF(AQ262="2",BH262,0),2)</f>
      </c>
      <c r="AG262" s="62">
        <f>ROUND(IF(AQ262="2",BI262,0),2)</f>
      </c>
      <c r="AH262" s="62">
        <f>ROUND(IF(AQ262="0",BJ262,0),2)</f>
      </c>
      <c r="AI262" s="35" t="s">
        <v>55</v>
      </c>
      <c r="AJ262" s="62">
        <f>IF(AN262=0,K262,0)</f>
      </c>
      <c r="AK262" s="62">
        <f>IF(AN262=12,K262,0)</f>
      </c>
      <c r="AL262" s="62">
        <f>IF(AN262=21,K262,0)</f>
      </c>
      <c r="AN262" s="62" t="n">
        <v>21</v>
      </c>
      <c r="AO262" s="62">
        <f>H262*1</f>
      </c>
      <c r="AP262" s="62">
        <f>H262*(1-1)</f>
      </c>
      <c r="AQ262" s="65" t="s">
        <v>544</v>
      </c>
      <c r="AV262" s="62">
        <f>ROUND(AW262+AX262,2)</f>
      </c>
      <c r="AW262" s="62">
        <f>ROUND(G262*AO262,2)</f>
      </c>
      <c r="AX262" s="62">
        <f>ROUND(G262*AP262,2)</f>
      </c>
      <c r="AY262" s="65" t="s">
        <v>545</v>
      </c>
      <c r="AZ262" s="65" t="s">
        <v>546</v>
      </c>
      <c r="BA262" s="35" t="s">
        <v>66</v>
      </c>
      <c r="BC262" s="62">
        <f>AW262+AX262</f>
      </c>
      <c r="BD262" s="62">
        <f>H262/(100-BE262)*100</f>
      </c>
      <c r="BE262" s="62" t="n">
        <v>0</v>
      </c>
      <c r="BF262" s="62">
        <f>N262</f>
      </c>
      <c r="BH262" s="62">
        <f>G262*AO262</f>
      </c>
      <c r="BI262" s="62">
        <f>G262*AP262</f>
      </c>
      <c r="BJ262" s="62">
        <f>G262*H262</f>
      </c>
      <c r="BK262" s="65" t="s">
        <v>539</v>
      </c>
      <c r="BL262" s="62"/>
      <c r="BW262" s="62" t="n">
        <v>21</v>
      </c>
      <c r="BX262" s="16" t="s">
        <v>564</v>
      </c>
    </row>
    <row r="263">
      <c r="A263" s="10" t="s">
        <v>565</v>
      </c>
      <c r="B263" s="11" t="s">
        <v>55</v>
      </c>
      <c r="C263" s="11" t="s">
        <v>566</v>
      </c>
      <c r="D263" s="16" t="s">
        <v>567</v>
      </c>
      <c r="E263" s="11"/>
      <c r="F263" s="11" t="s">
        <v>103</v>
      </c>
      <c r="G263" s="62" t="n">
        <v>2</v>
      </c>
      <c r="H263" s="63" t="n">
        <v>0</v>
      </c>
      <c r="I263" s="62">
        <f>ROUND(G263*AO263,2)</f>
      </c>
      <c r="J263" s="62">
        <f>ROUND(G263*AP263,2)</f>
      </c>
      <c r="K263" s="62">
        <f>ROUND(G263*H263,2)</f>
      </c>
      <c r="L263" s="62" t="n">
        <v>0.085</v>
      </c>
      <c r="M263" s="62" t="n">
        <v>0.085</v>
      </c>
      <c r="N263" s="62">
        <f>G263*M263</f>
      </c>
      <c r="O263" s="64" t="s">
        <v>63</v>
      </c>
      <c r="Z263" s="62">
        <f>ROUND(IF(AQ263="5",BJ263,0),2)</f>
      </c>
      <c r="AB263" s="62">
        <f>ROUND(IF(AQ263="1",BH263,0),2)</f>
      </c>
      <c r="AC263" s="62">
        <f>ROUND(IF(AQ263="1",BI263,0),2)</f>
      </c>
      <c r="AD263" s="62">
        <f>ROUND(IF(AQ263="7",BH263,0),2)</f>
      </c>
      <c r="AE263" s="62">
        <f>ROUND(IF(AQ263="7",BI263,0),2)</f>
      </c>
      <c r="AF263" s="62">
        <f>ROUND(IF(AQ263="2",BH263,0),2)</f>
      </c>
      <c r="AG263" s="62">
        <f>ROUND(IF(AQ263="2",BI263,0),2)</f>
      </c>
      <c r="AH263" s="62">
        <f>ROUND(IF(AQ263="0",BJ263,0),2)</f>
      </c>
      <c r="AI263" s="35" t="s">
        <v>55</v>
      </c>
      <c r="AJ263" s="62">
        <f>IF(AN263=0,K263,0)</f>
      </c>
      <c r="AK263" s="62">
        <f>IF(AN263=12,K263,0)</f>
      </c>
      <c r="AL263" s="62">
        <f>IF(AN263=21,K263,0)</f>
      </c>
      <c r="AN263" s="62" t="n">
        <v>21</v>
      </c>
      <c r="AO263" s="62">
        <f>H263*1</f>
      </c>
      <c r="AP263" s="62">
        <f>H263*(1-1)</f>
      </c>
      <c r="AQ263" s="65" t="s">
        <v>544</v>
      </c>
      <c r="AV263" s="62">
        <f>ROUND(AW263+AX263,2)</f>
      </c>
      <c r="AW263" s="62">
        <f>ROUND(G263*AO263,2)</f>
      </c>
      <c r="AX263" s="62">
        <f>ROUND(G263*AP263,2)</f>
      </c>
      <c r="AY263" s="65" t="s">
        <v>545</v>
      </c>
      <c r="AZ263" s="65" t="s">
        <v>546</v>
      </c>
      <c r="BA263" s="35" t="s">
        <v>66</v>
      </c>
      <c r="BC263" s="62">
        <f>AW263+AX263</f>
      </c>
      <c r="BD263" s="62">
        <f>H263/(100-BE263)*100</f>
      </c>
      <c r="BE263" s="62" t="n">
        <v>0</v>
      </c>
      <c r="BF263" s="62">
        <f>N263</f>
      </c>
      <c r="BH263" s="62">
        <f>G263*AO263</f>
      </c>
      <c r="BI263" s="62">
        <f>G263*AP263</f>
      </c>
      <c r="BJ263" s="62">
        <f>G263*H263</f>
      </c>
      <c r="BK263" s="65" t="s">
        <v>539</v>
      </c>
      <c r="BL263" s="62"/>
      <c r="BW263" s="62" t="n">
        <v>21</v>
      </c>
      <c r="BX263" s="16" t="s">
        <v>567</v>
      </c>
    </row>
    <row r="264" customHeight="true" ht="108">
      <c r="A264" s="66"/>
      <c r="C264" s="76" t="s">
        <v>71</v>
      </c>
      <c r="D264" s="77" t="s">
        <v>568</v>
      </c>
      <c r="E264" s="78"/>
      <c r="F264" s="78"/>
      <c r="G264" s="78"/>
      <c r="H264" s="79"/>
      <c r="I264" s="78"/>
      <c r="J264" s="78"/>
      <c r="K264" s="78"/>
      <c r="L264" s="78"/>
      <c r="M264" s="78"/>
      <c r="N264" s="78"/>
      <c r="O264" s="80"/>
    </row>
    <row r="265" ht="24.75">
      <c r="A265" s="10" t="s">
        <v>569</v>
      </c>
      <c r="B265" s="11" t="s">
        <v>55</v>
      </c>
      <c r="C265" s="11" t="s">
        <v>570</v>
      </c>
      <c r="D265" s="16" t="s">
        <v>571</v>
      </c>
      <c r="E265" s="11"/>
      <c r="F265" s="11" t="s">
        <v>103</v>
      </c>
      <c r="G265" s="62" t="n">
        <v>1</v>
      </c>
      <c r="H265" s="63" t="n">
        <v>0</v>
      </c>
      <c r="I265" s="62">
        <f>ROUND(G265*AO265,2)</f>
      </c>
      <c r="J265" s="62">
        <f>ROUND(G265*AP265,2)</f>
      </c>
      <c r="K265" s="62">
        <f>ROUND(G265*H265,2)</f>
      </c>
      <c r="L265" s="62" t="n">
        <v>0.10333</v>
      </c>
      <c r="M265" s="62" t="n">
        <v>0.10333</v>
      </c>
      <c r="N265" s="62">
        <f>G265*M265</f>
      </c>
      <c r="O265" s="64" t="s">
        <v>63</v>
      </c>
      <c r="Z265" s="62">
        <f>ROUND(IF(AQ265="5",BJ265,0),2)</f>
      </c>
      <c r="AB265" s="62">
        <f>ROUND(IF(AQ265="1",BH265,0),2)</f>
      </c>
      <c r="AC265" s="62">
        <f>ROUND(IF(AQ265="1",BI265,0),2)</f>
      </c>
      <c r="AD265" s="62">
        <f>ROUND(IF(AQ265="7",BH265,0),2)</f>
      </c>
      <c r="AE265" s="62">
        <f>ROUND(IF(AQ265="7",BI265,0),2)</f>
      </c>
      <c r="AF265" s="62">
        <f>ROUND(IF(AQ265="2",BH265,0),2)</f>
      </c>
      <c r="AG265" s="62">
        <f>ROUND(IF(AQ265="2",BI265,0),2)</f>
      </c>
      <c r="AH265" s="62">
        <f>ROUND(IF(AQ265="0",BJ265,0),2)</f>
      </c>
      <c r="AI265" s="35" t="s">
        <v>55</v>
      </c>
      <c r="AJ265" s="62">
        <f>IF(AN265=0,K265,0)</f>
      </c>
      <c r="AK265" s="62">
        <f>IF(AN265=12,K265,0)</f>
      </c>
      <c r="AL265" s="62">
        <f>IF(AN265=21,K265,0)</f>
      </c>
      <c r="AN265" s="62" t="n">
        <v>21</v>
      </c>
      <c r="AO265" s="62">
        <f>H265*1</f>
      </c>
      <c r="AP265" s="62">
        <f>H265*(1-1)</f>
      </c>
      <c r="AQ265" s="65" t="s">
        <v>544</v>
      </c>
      <c r="AV265" s="62">
        <f>ROUND(AW265+AX265,2)</f>
      </c>
      <c r="AW265" s="62">
        <f>ROUND(G265*AO265,2)</f>
      </c>
      <c r="AX265" s="62">
        <f>ROUND(G265*AP265,2)</f>
      </c>
      <c r="AY265" s="65" t="s">
        <v>545</v>
      </c>
      <c r="AZ265" s="65" t="s">
        <v>546</v>
      </c>
      <c r="BA265" s="35" t="s">
        <v>66</v>
      </c>
      <c r="BC265" s="62">
        <f>AW265+AX265</f>
      </c>
      <c r="BD265" s="62">
        <f>H265/(100-BE265)*100</f>
      </c>
      <c r="BE265" s="62" t="n">
        <v>0</v>
      </c>
      <c r="BF265" s="62">
        <f>N265</f>
      </c>
      <c r="BH265" s="62">
        <f>G265*AO265</f>
      </c>
      <c r="BI265" s="62">
        <f>G265*AP265</f>
      </c>
      <c r="BJ265" s="62">
        <f>G265*H265</f>
      </c>
      <c r="BK265" s="65" t="s">
        <v>539</v>
      </c>
      <c r="BL265" s="62"/>
      <c r="BW265" s="62" t="n">
        <v>21</v>
      </c>
      <c r="BX265" s="16" t="s">
        <v>571</v>
      </c>
    </row>
    <row r="266" customHeight="true" ht="135">
      <c r="A266" s="66"/>
      <c r="C266" s="76" t="s">
        <v>71</v>
      </c>
      <c r="D266" s="77" t="s">
        <v>572</v>
      </c>
      <c r="E266" s="78"/>
      <c r="F266" s="78"/>
      <c r="G266" s="78"/>
      <c r="H266" s="79"/>
      <c r="I266" s="78"/>
      <c r="J266" s="78"/>
      <c r="K266" s="78"/>
      <c r="L266" s="78"/>
      <c r="M266" s="78"/>
      <c r="N266" s="78"/>
      <c r="O266" s="80"/>
    </row>
    <row r="267">
      <c r="A267" s="10" t="s">
        <v>573</v>
      </c>
      <c r="B267" s="11" t="s">
        <v>55</v>
      </c>
      <c r="C267" s="11" t="s">
        <v>574</v>
      </c>
      <c r="D267" s="16" t="s">
        <v>575</v>
      </c>
      <c r="E267" s="11"/>
      <c r="F267" s="11" t="s">
        <v>103</v>
      </c>
      <c r="G267" s="62" t="n">
        <v>1</v>
      </c>
      <c r="H267" s="63" t="n">
        <v>0</v>
      </c>
      <c r="I267" s="62">
        <f>ROUND(G267*AO267,2)</f>
      </c>
      <c r="J267" s="62">
        <f>ROUND(G267*AP267,2)</f>
      </c>
      <c r="K267" s="62">
        <f>ROUND(G267*H267,2)</f>
      </c>
      <c r="L267" s="62" t="n">
        <v>0</v>
      </c>
      <c r="M267" s="62" t="n">
        <v>0</v>
      </c>
      <c r="N267" s="62">
        <f>G267*M267</f>
      </c>
      <c r="O267" s="64" t="s">
        <v>576</v>
      </c>
      <c r="Z267" s="62">
        <f>ROUND(IF(AQ267="5",BJ267,0),2)</f>
      </c>
      <c r="AB267" s="62">
        <f>ROUND(IF(AQ267="1",BH267,0),2)</f>
      </c>
      <c r="AC267" s="62">
        <f>ROUND(IF(AQ267="1",BI267,0),2)</f>
      </c>
      <c r="AD267" s="62">
        <f>ROUND(IF(AQ267="7",BH267,0),2)</f>
      </c>
      <c r="AE267" s="62">
        <f>ROUND(IF(AQ267="7",BI267,0),2)</f>
      </c>
      <c r="AF267" s="62">
        <f>ROUND(IF(AQ267="2",BH267,0),2)</f>
      </c>
      <c r="AG267" s="62">
        <f>ROUND(IF(AQ267="2",BI267,0),2)</f>
      </c>
      <c r="AH267" s="62">
        <f>ROUND(IF(AQ267="0",BJ267,0),2)</f>
      </c>
      <c r="AI267" s="35" t="s">
        <v>55</v>
      </c>
      <c r="AJ267" s="62">
        <f>IF(AN267=0,K267,0)</f>
      </c>
      <c r="AK267" s="62">
        <f>IF(AN267=12,K267,0)</f>
      </c>
      <c r="AL267" s="62">
        <f>IF(AN267=21,K267,0)</f>
      </c>
      <c r="AN267" s="62" t="n">
        <v>21</v>
      </c>
      <c r="AO267" s="62">
        <f>H267*1</f>
      </c>
      <c r="AP267" s="62">
        <f>H267*(1-1)</f>
      </c>
      <c r="AQ267" s="65" t="s">
        <v>544</v>
      </c>
      <c r="AV267" s="62">
        <f>ROUND(AW267+AX267,2)</f>
      </c>
      <c r="AW267" s="62">
        <f>ROUND(G267*AO267,2)</f>
      </c>
      <c r="AX267" s="62">
        <f>ROUND(G267*AP267,2)</f>
      </c>
      <c r="AY267" s="65" t="s">
        <v>545</v>
      </c>
      <c r="AZ267" s="65" t="s">
        <v>546</v>
      </c>
      <c r="BA267" s="35" t="s">
        <v>66</v>
      </c>
      <c r="BC267" s="62">
        <f>AW267+AX267</f>
      </c>
      <c r="BD267" s="62">
        <f>H267/(100-BE267)*100</f>
      </c>
      <c r="BE267" s="62" t="n">
        <v>0</v>
      </c>
      <c r="BF267" s="62">
        <f>N267</f>
      </c>
      <c r="BH267" s="62">
        <f>G267*AO267</f>
      </c>
      <c r="BI267" s="62">
        <f>G267*AP267</f>
      </c>
      <c r="BJ267" s="62">
        <f>G267*H267</f>
      </c>
      <c r="BK267" s="65" t="s">
        <v>539</v>
      </c>
      <c r="BL267" s="62"/>
      <c r="BW267" s="62" t="n">
        <v>21</v>
      </c>
      <c r="BX267" s="16" t="s">
        <v>575</v>
      </c>
    </row>
    <row r="268">
      <c r="A268" s="10" t="s">
        <v>577</v>
      </c>
      <c r="B268" s="11" t="s">
        <v>55</v>
      </c>
      <c r="C268" s="11" t="s">
        <v>574</v>
      </c>
      <c r="D268" s="16" t="s">
        <v>578</v>
      </c>
      <c r="E268" s="11"/>
      <c r="F268" s="11" t="s">
        <v>103</v>
      </c>
      <c r="G268" s="62" t="n">
        <v>1</v>
      </c>
      <c r="H268" s="63" t="n">
        <v>0</v>
      </c>
      <c r="I268" s="62">
        <f>ROUND(G268*AO268,2)</f>
      </c>
      <c r="J268" s="62">
        <f>ROUND(G268*AP268,2)</f>
      </c>
      <c r="K268" s="62">
        <f>ROUND(G268*H268,2)</f>
      </c>
      <c r="L268" s="62" t="n">
        <v>0</v>
      </c>
      <c r="M268" s="62" t="n">
        <v>0</v>
      </c>
      <c r="N268" s="62">
        <f>G268*M268</f>
      </c>
      <c r="O268" s="64" t="s">
        <v>576</v>
      </c>
      <c r="Z268" s="62">
        <f>ROUND(IF(AQ268="5",BJ268,0),2)</f>
      </c>
      <c r="AB268" s="62">
        <f>ROUND(IF(AQ268="1",BH268,0),2)</f>
      </c>
      <c r="AC268" s="62">
        <f>ROUND(IF(AQ268="1",BI268,0),2)</f>
      </c>
      <c r="AD268" s="62">
        <f>ROUND(IF(AQ268="7",BH268,0),2)</f>
      </c>
      <c r="AE268" s="62">
        <f>ROUND(IF(AQ268="7",BI268,0),2)</f>
      </c>
      <c r="AF268" s="62">
        <f>ROUND(IF(AQ268="2",BH268,0),2)</f>
      </c>
      <c r="AG268" s="62">
        <f>ROUND(IF(AQ268="2",BI268,0),2)</f>
      </c>
      <c r="AH268" s="62">
        <f>ROUND(IF(AQ268="0",BJ268,0),2)</f>
      </c>
      <c r="AI268" s="35" t="s">
        <v>55</v>
      </c>
      <c r="AJ268" s="62">
        <f>IF(AN268=0,K268,0)</f>
      </c>
      <c r="AK268" s="62">
        <f>IF(AN268=12,K268,0)</f>
      </c>
      <c r="AL268" s="62">
        <f>IF(AN268=21,K268,0)</f>
      </c>
      <c r="AN268" s="62" t="n">
        <v>21</v>
      </c>
      <c r="AO268" s="62">
        <f>H268*1</f>
      </c>
      <c r="AP268" s="62">
        <f>H268*(1-1)</f>
      </c>
      <c r="AQ268" s="65" t="s">
        <v>544</v>
      </c>
      <c r="AV268" s="62">
        <f>ROUND(AW268+AX268,2)</f>
      </c>
      <c r="AW268" s="62">
        <f>ROUND(G268*AO268,2)</f>
      </c>
      <c r="AX268" s="62">
        <f>ROUND(G268*AP268,2)</f>
      </c>
      <c r="AY268" s="65" t="s">
        <v>545</v>
      </c>
      <c r="AZ268" s="65" t="s">
        <v>546</v>
      </c>
      <c r="BA268" s="35" t="s">
        <v>66</v>
      </c>
      <c r="BC268" s="62">
        <f>AW268+AX268</f>
      </c>
      <c r="BD268" s="62">
        <f>H268/(100-BE268)*100</f>
      </c>
      <c r="BE268" s="62" t="n">
        <v>0</v>
      </c>
      <c r="BF268" s="62">
        <f>N268</f>
      </c>
      <c r="BH268" s="62">
        <f>G268*AO268</f>
      </c>
      <c r="BI268" s="62">
        <f>G268*AP268</f>
      </c>
      <c r="BJ268" s="62">
        <f>G268*H268</f>
      </c>
      <c r="BK268" s="65" t="s">
        <v>539</v>
      </c>
      <c r="BL268" s="62"/>
      <c r="BW268" s="62" t="n">
        <v>21</v>
      </c>
      <c r="BX268" s="16" t="s">
        <v>578</v>
      </c>
    </row>
    <row r="269">
      <c r="A269" s="10" t="s">
        <v>579</v>
      </c>
      <c r="B269" s="11" t="s">
        <v>55</v>
      </c>
      <c r="C269" s="11" t="s">
        <v>574</v>
      </c>
      <c r="D269" s="16" t="s">
        <v>580</v>
      </c>
      <c r="E269" s="11"/>
      <c r="F269" s="11" t="s">
        <v>103</v>
      </c>
      <c r="G269" s="62" t="n">
        <v>1</v>
      </c>
      <c r="H269" s="63" t="n">
        <v>0</v>
      </c>
      <c r="I269" s="62">
        <f>ROUND(G269*AO269,2)</f>
      </c>
      <c r="J269" s="62">
        <f>ROUND(G269*AP269,2)</f>
      </c>
      <c r="K269" s="62">
        <f>ROUND(G269*H269,2)</f>
      </c>
      <c r="L269" s="62" t="n">
        <v>0</v>
      </c>
      <c r="M269" s="62" t="n">
        <v>0</v>
      </c>
      <c r="N269" s="62">
        <f>G269*M269</f>
      </c>
      <c r="O269" s="64" t="s">
        <v>576</v>
      </c>
      <c r="Z269" s="62">
        <f>ROUND(IF(AQ269="5",BJ269,0),2)</f>
      </c>
      <c r="AB269" s="62">
        <f>ROUND(IF(AQ269="1",BH269,0),2)</f>
      </c>
      <c r="AC269" s="62">
        <f>ROUND(IF(AQ269="1",BI269,0),2)</f>
      </c>
      <c r="AD269" s="62">
        <f>ROUND(IF(AQ269="7",BH269,0),2)</f>
      </c>
      <c r="AE269" s="62">
        <f>ROUND(IF(AQ269="7",BI269,0),2)</f>
      </c>
      <c r="AF269" s="62">
        <f>ROUND(IF(AQ269="2",BH269,0),2)</f>
      </c>
      <c r="AG269" s="62">
        <f>ROUND(IF(AQ269="2",BI269,0),2)</f>
      </c>
      <c r="AH269" s="62">
        <f>ROUND(IF(AQ269="0",BJ269,0),2)</f>
      </c>
      <c r="AI269" s="35" t="s">
        <v>55</v>
      </c>
      <c r="AJ269" s="62">
        <f>IF(AN269=0,K269,0)</f>
      </c>
      <c r="AK269" s="62">
        <f>IF(AN269=12,K269,0)</f>
      </c>
      <c r="AL269" s="62">
        <f>IF(AN269=21,K269,0)</f>
      </c>
      <c r="AN269" s="62" t="n">
        <v>21</v>
      </c>
      <c r="AO269" s="62">
        <f>H269*1</f>
      </c>
      <c r="AP269" s="62">
        <f>H269*(1-1)</f>
      </c>
      <c r="AQ269" s="65" t="s">
        <v>544</v>
      </c>
      <c r="AV269" s="62">
        <f>ROUND(AW269+AX269,2)</f>
      </c>
      <c r="AW269" s="62">
        <f>ROUND(G269*AO269,2)</f>
      </c>
      <c r="AX269" s="62">
        <f>ROUND(G269*AP269,2)</f>
      </c>
      <c r="AY269" s="65" t="s">
        <v>545</v>
      </c>
      <c r="AZ269" s="65" t="s">
        <v>546</v>
      </c>
      <c r="BA269" s="35" t="s">
        <v>66</v>
      </c>
      <c r="BC269" s="62">
        <f>AW269+AX269</f>
      </c>
      <c r="BD269" s="62">
        <f>H269/(100-BE269)*100</f>
      </c>
      <c r="BE269" s="62" t="n">
        <v>0</v>
      </c>
      <c r="BF269" s="62">
        <f>N269</f>
      </c>
      <c r="BH269" s="62">
        <f>G269*AO269</f>
      </c>
      <c r="BI269" s="62">
        <f>G269*AP269</f>
      </c>
      <c r="BJ269" s="62">
        <f>G269*H269</f>
      </c>
      <c r="BK269" s="65" t="s">
        <v>539</v>
      </c>
      <c r="BL269" s="62"/>
      <c r="BW269" s="62" t="n">
        <v>21</v>
      </c>
      <c r="BX269" s="16" t="s">
        <v>580</v>
      </c>
    </row>
    <row r="270">
      <c r="A270" s="10" t="s">
        <v>581</v>
      </c>
      <c r="B270" s="11" t="s">
        <v>55</v>
      </c>
      <c r="C270" s="11" t="s">
        <v>574</v>
      </c>
      <c r="D270" s="16" t="s">
        <v>582</v>
      </c>
      <c r="E270" s="11"/>
      <c r="F270" s="11" t="s">
        <v>103</v>
      </c>
      <c r="G270" s="62" t="n">
        <v>1</v>
      </c>
      <c r="H270" s="63" t="n">
        <v>0</v>
      </c>
      <c r="I270" s="62">
        <f>ROUND(G270*AO270,2)</f>
      </c>
      <c r="J270" s="62">
        <f>ROUND(G270*AP270,2)</f>
      </c>
      <c r="K270" s="62">
        <f>ROUND(G270*H270,2)</f>
      </c>
      <c r="L270" s="62" t="n">
        <v>0</v>
      </c>
      <c r="M270" s="62" t="n">
        <v>0</v>
      </c>
      <c r="N270" s="62">
        <f>G270*M270</f>
      </c>
      <c r="O270" s="64" t="s">
        <v>576</v>
      </c>
      <c r="Z270" s="62">
        <f>ROUND(IF(AQ270="5",BJ270,0),2)</f>
      </c>
      <c r="AB270" s="62">
        <f>ROUND(IF(AQ270="1",BH270,0),2)</f>
      </c>
      <c r="AC270" s="62">
        <f>ROUND(IF(AQ270="1",BI270,0),2)</f>
      </c>
      <c r="AD270" s="62">
        <f>ROUND(IF(AQ270="7",BH270,0),2)</f>
      </c>
      <c r="AE270" s="62">
        <f>ROUND(IF(AQ270="7",BI270,0),2)</f>
      </c>
      <c r="AF270" s="62">
        <f>ROUND(IF(AQ270="2",BH270,0),2)</f>
      </c>
      <c r="AG270" s="62">
        <f>ROUND(IF(AQ270="2",BI270,0),2)</f>
      </c>
      <c r="AH270" s="62">
        <f>ROUND(IF(AQ270="0",BJ270,0),2)</f>
      </c>
      <c r="AI270" s="35" t="s">
        <v>55</v>
      </c>
      <c r="AJ270" s="62">
        <f>IF(AN270=0,K270,0)</f>
      </c>
      <c r="AK270" s="62">
        <f>IF(AN270=12,K270,0)</f>
      </c>
      <c r="AL270" s="62">
        <f>IF(AN270=21,K270,0)</f>
      </c>
      <c r="AN270" s="62" t="n">
        <v>21</v>
      </c>
      <c r="AO270" s="62">
        <f>H270*1</f>
      </c>
      <c r="AP270" s="62">
        <f>H270*(1-1)</f>
      </c>
      <c r="AQ270" s="65" t="s">
        <v>544</v>
      </c>
      <c r="AV270" s="62">
        <f>ROUND(AW270+AX270,2)</f>
      </c>
      <c r="AW270" s="62">
        <f>ROUND(G270*AO270,2)</f>
      </c>
      <c r="AX270" s="62">
        <f>ROUND(G270*AP270,2)</f>
      </c>
      <c r="AY270" s="65" t="s">
        <v>545</v>
      </c>
      <c r="AZ270" s="65" t="s">
        <v>546</v>
      </c>
      <c r="BA270" s="35" t="s">
        <v>66</v>
      </c>
      <c r="BC270" s="62">
        <f>AW270+AX270</f>
      </c>
      <c r="BD270" s="62">
        <f>H270/(100-BE270)*100</f>
      </c>
      <c r="BE270" s="62" t="n">
        <v>0</v>
      </c>
      <c r="BF270" s="62">
        <f>N270</f>
      </c>
      <c r="BH270" s="62">
        <f>G270*AO270</f>
      </c>
      <c r="BI270" s="62">
        <f>G270*AP270</f>
      </c>
      <c r="BJ270" s="62">
        <f>G270*H270</f>
      </c>
      <c r="BK270" s="65" t="s">
        <v>539</v>
      </c>
      <c r="BL270" s="62"/>
      <c r="BW270" s="62" t="n">
        <v>21</v>
      </c>
      <c r="BX270" s="16" t="s">
        <v>582</v>
      </c>
    </row>
    <row r="271">
      <c r="A271" s="56" t="s">
        <v>54</v>
      </c>
      <c r="B271" s="57" t="s">
        <v>583</v>
      </c>
      <c r="C271" s="57" t="s">
        <v>54</v>
      </c>
      <c r="D271" s="58" t="s">
        <v>584</v>
      </c>
      <c r="E271" s="57"/>
      <c r="F271" s="59" t="s">
        <v>4</v>
      </c>
      <c r="G271" s="59" t="s">
        <v>4</v>
      </c>
      <c r="H271" s="60" t="s">
        <v>4</v>
      </c>
      <c r="I271" s="2">
        <f>I272</f>
      </c>
      <c r="J271" s="2">
        <f>J272</f>
      </c>
      <c r="K271" s="2">
        <f>K272</f>
      </c>
      <c r="L271" s="35" t="s">
        <v>54</v>
      </c>
      <c r="M271" s="35" t="s">
        <v>54</v>
      </c>
      <c r="N271" s="2">
        <f>N272</f>
      </c>
      <c r="O271" s="61" t="s">
        <v>54</v>
      </c>
    </row>
    <row r="272">
      <c r="A272" s="56" t="s">
        <v>54</v>
      </c>
      <c r="B272" s="57" t="s">
        <v>583</v>
      </c>
      <c r="C272" s="57" t="s">
        <v>585</v>
      </c>
      <c r="D272" s="58" t="s">
        <v>586</v>
      </c>
      <c r="E272" s="57"/>
      <c r="F272" s="59" t="s">
        <v>4</v>
      </c>
      <c r="G272" s="59" t="s">
        <v>4</v>
      </c>
      <c r="H272" s="60" t="s">
        <v>4</v>
      </c>
      <c r="I272" s="2">
        <f>SUM(I273:I293)</f>
      </c>
      <c r="J272" s="2">
        <f>SUM(J273:J293)</f>
      </c>
      <c r="K272" s="2">
        <f>SUM(K273:K293)</f>
      </c>
      <c r="L272" s="35" t="s">
        <v>54</v>
      </c>
      <c r="M272" s="35" t="s">
        <v>54</v>
      </c>
      <c r="N272" s="2">
        <f>SUM(N273:N293)</f>
      </c>
      <c r="O272" s="61" t="s">
        <v>54</v>
      </c>
      <c r="AI272" s="35" t="s">
        <v>583</v>
      </c>
      <c r="AS272" s="2">
        <f>SUM(AJ273:AJ293)</f>
      </c>
      <c r="AT272" s="2">
        <f>SUM(AK273:AK293)</f>
      </c>
      <c r="AU272" s="2">
        <f>SUM(AL273:AL293)</f>
      </c>
    </row>
    <row r="273">
      <c r="A273" s="10" t="s">
        <v>587</v>
      </c>
      <c r="B273" s="11" t="s">
        <v>583</v>
      </c>
      <c r="C273" s="11" t="s">
        <v>588</v>
      </c>
      <c r="D273" s="16" t="s">
        <v>589</v>
      </c>
      <c r="E273" s="11"/>
      <c r="F273" s="11" t="s">
        <v>590</v>
      </c>
      <c r="G273" s="62" t="n">
        <v>1</v>
      </c>
      <c r="H273" s="63" t="n">
        <v>0</v>
      </c>
      <c r="I273" s="62">
        <f>ROUND(G273*AO273,2)</f>
      </c>
      <c r="J273" s="62">
        <f>ROUND(G273*AP273,2)</f>
      </c>
      <c r="K273" s="62">
        <f>ROUND(G273*H273,2)</f>
      </c>
      <c r="L273" s="62" t="n">
        <v>0</v>
      </c>
      <c r="M273" s="62" t="n">
        <v>0</v>
      </c>
      <c r="N273" s="62">
        <f>G273*M273</f>
      </c>
      <c r="O273" s="64" t="s">
        <v>591</v>
      </c>
      <c r="Z273" s="62">
        <f>ROUND(IF(AQ273="5",BJ273,0),2)</f>
      </c>
      <c r="AB273" s="62">
        <f>ROUND(IF(AQ273="1",BH273,0),2)</f>
      </c>
      <c r="AC273" s="62">
        <f>ROUND(IF(AQ273="1",BI273,0),2)</f>
      </c>
      <c r="AD273" s="62">
        <f>ROUND(IF(AQ273="7",BH273,0),2)</f>
      </c>
      <c r="AE273" s="62">
        <f>ROUND(IF(AQ273="7",BI273,0),2)</f>
      </c>
      <c r="AF273" s="62">
        <f>ROUND(IF(AQ273="2",BH273,0),2)</f>
      </c>
      <c r="AG273" s="62">
        <f>ROUND(IF(AQ273="2",BI273,0),2)</f>
      </c>
      <c r="AH273" s="62">
        <f>ROUND(IF(AQ273="0",BJ273,0),2)</f>
      </c>
      <c r="AI273" s="35" t="s">
        <v>583</v>
      </c>
      <c r="AJ273" s="62">
        <f>IF(AN273=0,K273,0)</f>
      </c>
      <c r="AK273" s="62">
        <f>IF(AN273=12,K273,0)</f>
      </c>
      <c r="AL273" s="62">
        <f>IF(AN273=21,K273,0)</f>
      </c>
      <c r="AN273" s="62" t="n">
        <v>21</v>
      </c>
      <c r="AO273" s="62">
        <f>H273*0</f>
      </c>
      <c r="AP273" s="62">
        <f>H273*(1-0)</f>
      </c>
      <c r="AQ273" s="65" t="s">
        <v>59</v>
      </c>
      <c r="AV273" s="62">
        <f>ROUND(AW273+AX273,2)</f>
      </c>
      <c r="AW273" s="62">
        <f>ROUND(G273*AO273,2)</f>
      </c>
      <c r="AX273" s="62">
        <f>ROUND(G273*AP273,2)</f>
      </c>
      <c r="AY273" s="65" t="s">
        <v>592</v>
      </c>
      <c r="AZ273" s="65" t="s">
        <v>593</v>
      </c>
      <c r="BA273" s="35" t="s">
        <v>594</v>
      </c>
      <c r="BC273" s="62">
        <f>AW273+AX273</f>
      </c>
      <c r="BD273" s="62">
        <f>H273/(100-BE273)*100</f>
      </c>
      <c r="BE273" s="62" t="n">
        <v>0</v>
      </c>
      <c r="BF273" s="62">
        <f>N273</f>
      </c>
      <c r="BH273" s="62">
        <f>G273*AO273</f>
      </c>
      <c r="BI273" s="62">
        <f>G273*AP273</f>
      </c>
      <c r="BJ273" s="62">
        <f>G273*H273</f>
      </c>
      <c r="BK273" s="65" t="s">
        <v>67</v>
      </c>
      <c r="BL273" s="62"/>
      <c r="BW273" s="62" t="n">
        <v>21</v>
      </c>
      <c r="BX273" s="16" t="s">
        <v>589</v>
      </c>
    </row>
    <row r="274" customHeight="true" ht="13.5">
      <c r="A274" s="66"/>
      <c r="C274" s="76" t="s">
        <v>71</v>
      </c>
      <c r="D274" s="77" t="s">
        <v>595</v>
      </c>
      <c r="E274" s="78"/>
      <c r="F274" s="78"/>
      <c r="G274" s="78"/>
      <c r="H274" s="79"/>
      <c r="I274" s="78"/>
      <c r="J274" s="78"/>
      <c r="K274" s="78"/>
      <c r="L274" s="78"/>
      <c r="M274" s="78"/>
      <c r="N274" s="78"/>
      <c r="O274" s="80"/>
    </row>
    <row r="275">
      <c r="A275" s="10" t="s">
        <v>596</v>
      </c>
      <c r="B275" s="11" t="s">
        <v>583</v>
      </c>
      <c r="C275" s="11" t="s">
        <v>588</v>
      </c>
      <c r="D275" s="16" t="s">
        <v>597</v>
      </c>
      <c r="E275" s="11"/>
      <c r="F275" s="11" t="s">
        <v>590</v>
      </c>
      <c r="G275" s="62" t="n">
        <v>1</v>
      </c>
      <c r="H275" s="63" t="n">
        <v>0</v>
      </c>
      <c r="I275" s="62">
        <f>ROUND(G275*AO275,2)</f>
      </c>
      <c r="J275" s="62">
        <f>ROUND(G275*AP275,2)</f>
      </c>
      <c r="K275" s="62">
        <f>ROUND(G275*H275,2)</f>
      </c>
      <c r="L275" s="62" t="n">
        <v>0</v>
      </c>
      <c r="M275" s="62" t="n">
        <v>0</v>
      </c>
      <c r="N275" s="62">
        <f>G275*M275</f>
      </c>
      <c r="O275" s="64" t="s">
        <v>591</v>
      </c>
      <c r="Z275" s="62">
        <f>ROUND(IF(AQ275="5",BJ275,0),2)</f>
      </c>
      <c r="AB275" s="62">
        <f>ROUND(IF(AQ275="1",BH275,0),2)</f>
      </c>
      <c r="AC275" s="62">
        <f>ROUND(IF(AQ275="1",BI275,0),2)</f>
      </c>
      <c r="AD275" s="62">
        <f>ROUND(IF(AQ275="7",BH275,0),2)</f>
      </c>
      <c r="AE275" s="62">
        <f>ROUND(IF(AQ275="7",BI275,0),2)</f>
      </c>
      <c r="AF275" s="62">
        <f>ROUND(IF(AQ275="2",BH275,0),2)</f>
      </c>
      <c r="AG275" s="62">
        <f>ROUND(IF(AQ275="2",BI275,0),2)</f>
      </c>
      <c r="AH275" s="62">
        <f>ROUND(IF(AQ275="0",BJ275,0),2)</f>
      </c>
      <c r="AI275" s="35" t="s">
        <v>583</v>
      </c>
      <c r="AJ275" s="62">
        <f>IF(AN275=0,K275,0)</f>
      </c>
      <c r="AK275" s="62">
        <f>IF(AN275=12,K275,0)</f>
      </c>
      <c r="AL275" s="62">
        <f>IF(AN275=21,K275,0)</f>
      </c>
      <c r="AN275" s="62" t="n">
        <v>21</v>
      </c>
      <c r="AO275" s="62">
        <f>H275*0</f>
      </c>
      <c r="AP275" s="62">
        <f>H275*(1-0)</f>
      </c>
      <c r="AQ275" s="65" t="s">
        <v>59</v>
      </c>
      <c r="AV275" s="62">
        <f>ROUND(AW275+AX275,2)</f>
      </c>
      <c r="AW275" s="62">
        <f>ROUND(G275*AO275,2)</f>
      </c>
      <c r="AX275" s="62">
        <f>ROUND(G275*AP275,2)</f>
      </c>
      <c r="AY275" s="65" t="s">
        <v>592</v>
      </c>
      <c r="AZ275" s="65" t="s">
        <v>593</v>
      </c>
      <c r="BA275" s="35" t="s">
        <v>594</v>
      </c>
      <c r="BC275" s="62">
        <f>AW275+AX275</f>
      </c>
      <c r="BD275" s="62">
        <f>H275/(100-BE275)*100</f>
      </c>
      <c r="BE275" s="62" t="n">
        <v>0</v>
      </c>
      <c r="BF275" s="62">
        <f>N275</f>
      </c>
      <c r="BH275" s="62">
        <f>G275*AO275</f>
      </c>
      <c r="BI275" s="62">
        <f>G275*AP275</f>
      </c>
      <c r="BJ275" s="62">
        <f>G275*H275</f>
      </c>
      <c r="BK275" s="65" t="s">
        <v>67</v>
      </c>
      <c r="BL275" s="62"/>
      <c r="BW275" s="62" t="n">
        <v>21</v>
      </c>
      <c r="BX275" s="16" t="s">
        <v>597</v>
      </c>
    </row>
    <row r="276" customHeight="true" ht="27">
      <c r="A276" s="66"/>
      <c r="C276" s="76" t="s">
        <v>71</v>
      </c>
      <c r="D276" s="77" t="s">
        <v>598</v>
      </c>
      <c r="E276" s="78"/>
      <c r="F276" s="78"/>
      <c r="G276" s="78"/>
      <c r="H276" s="79"/>
      <c r="I276" s="78"/>
      <c r="J276" s="78"/>
      <c r="K276" s="78"/>
      <c r="L276" s="78"/>
      <c r="M276" s="78"/>
      <c r="N276" s="78"/>
      <c r="O276" s="80"/>
    </row>
    <row r="277">
      <c r="A277" s="10" t="s">
        <v>599</v>
      </c>
      <c r="B277" s="11" t="s">
        <v>583</v>
      </c>
      <c r="C277" s="11" t="s">
        <v>588</v>
      </c>
      <c r="D277" s="16" t="s">
        <v>600</v>
      </c>
      <c r="E277" s="11"/>
      <c r="F277" s="11" t="s">
        <v>590</v>
      </c>
      <c r="G277" s="62" t="n">
        <v>1</v>
      </c>
      <c r="H277" s="63" t="n">
        <v>0</v>
      </c>
      <c r="I277" s="62">
        <f>ROUND(G277*AO277,2)</f>
      </c>
      <c r="J277" s="62">
        <f>ROUND(G277*AP277,2)</f>
      </c>
      <c r="K277" s="62">
        <f>ROUND(G277*H277,2)</f>
      </c>
      <c r="L277" s="62" t="n">
        <v>0</v>
      </c>
      <c r="M277" s="62" t="n">
        <v>0</v>
      </c>
      <c r="N277" s="62">
        <f>G277*M277</f>
      </c>
      <c r="O277" s="64" t="s">
        <v>591</v>
      </c>
      <c r="Z277" s="62">
        <f>ROUND(IF(AQ277="5",BJ277,0),2)</f>
      </c>
      <c r="AB277" s="62">
        <f>ROUND(IF(AQ277="1",BH277,0),2)</f>
      </c>
      <c r="AC277" s="62">
        <f>ROUND(IF(AQ277="1",BI277,0),2)</f>
      </c>
      <c r="AD277" s="62">
        <f>ROUND(IF(AQ277="7",BH277,0),2)</f>
      </c>
      <c r="AE277" s="62">
        <f>ROUND(IF(AQ277="7",BI277,0),2)</f>
      </c>
      <c r="AF277" s="62">
        <f>ROUND(IF(AQ277="2",BH277,0),2)</f>
      </c>
      <c r="AG277" s="62">
        <f>ROUND(IF(AQ277="2",BI277,0),2)</f>
      </c>
      <c r="AH277" s="62">
        <f>ROUND(IF(AQ277="0",BJ277,0),2)</f>
      </c>
      <c r="AI277" s="35" t="s">
        <v>583</v>
      </c>
      <c r="AJ277" s="62">
        <f>IF(AN277=0,K277,0)</f>
      </c>
      <c r="AK277" s="62">
        <f>IF(AN277=12,K277,0)</f>
      </c>
      <c r="AL277" s="62">
        <f>IF(AN277=21,K277,0)</f>
      </c>
      <c r="AN277" s="62" t="n">
        <v>21</v>
      </c>
      <c r="AO277" s="62">
        <f>H277*0</f>
      </c>
      <c r="AP277" s="62">
        <f>H277*(1-0)</f>
      </c>
      <c r="AQ277" s="65" t="s">
        <v>59</v>
      </c>
      <c r="AV277" s="62">
        <f>ROUND(AW277+AX277,2)</f>
      </c>
      <c r="AW277" s="62">
        <f>ROUND(G277*AO277,2)</f>
      </c>
      <c r="AX277" s="62">
        <f>ROUND(G277*AP277,2)</f>
      </c>
      <c r="AY277" s="65" t="s">
        <v>592</v>
      </c>
      <c r="AZ277" s="65" t="s">
        <v>593</v>
      </c>
      <c r="BA277" s="35" t="s">
        <v>594</v>
      </c>
      <c r="BC277" s="62">
        <f>AW277+AX277</f>
      </c>
      <c r="BD277" s="62">
        <f>H277/(100-BE277)*100</f>
      </c>
      <c r="BE277" s="62" t="n">
        <v>0</v>
      </c>
      <c r="BF277" s="62">
        <f>N277</f>
      </c>
      <c r="BH277" s="62">
        <f>G277*AO277</f>
      </c>
      <c r="BI277" s="62">
        <f>G277*AP277</f>
      </c>
      <c r="BJ277" s="62">
        <f>G277*H277</f>
      </c>
      <c r="BK277" s="65" t="s">
        <v>67</v>
      </c>
      <c r="BL277" s="62"/>
      <c r="BW277" s="62" t="n">
        <v>21</v>
      </c>
      <c r="BX277" s="16" t="s">
        <v>600</v>
      </c>
    </row>
    <row r="278" customHeight="true" ht="13.5">
      <c r="A278" s="66"/>
      <c r="C278" s="76" t="s">
        <v>71</v>
      </c>
      <c r="D278" s="77" t="s">
        <v>601</v>
      </c>
      <c r="E278" s="78"/>
      <c r="F278" s="78"/>
      <c r="G278" s="78"/>
      <c r="H278" s="79"/>
      <c r="I278" s="78"/>
      <c r="J278" s="78"/>
      <c r="K278" s="78"/>
      <c r="L278" s="78"/>
      <c r="M278" s="78"/>
      <c r="N278" s="78"/>
      <c r="O278" s="80"/>
    </row>
    <row r="279">
      <c r="A279" s="10" t="s">
        <v>602</v>
      </c>
      <c r="B279" s="11" t="s">
        <v>583</v>
      </c>
      <c r="C279" s="11" t="s">
        <v>588</v>
      </c>
      <c r="D279" s="16" t="s">
        <v>603</v>
      </c>
      <c r="E279" s="11"/>
      <c r="F279" s="11" t="s">
        <v>590</v>
      </c>
      <c r="G279" s="62" t="n">
        <v>1</v>
      </c>
      <c r="H279" s="63" t="n">
        <v>0</v>
      </c>
      <c r="I279" s="62">
        <f>ROUND(G279*AO279,2)</f>
      </c>
      <c r="J279" s="62">
        <f>ROUND(G279*AP279,2)</f>
      </c>
      <c r="K279" s="62">
        <f>ROUND(G279*H279,2)</f>
      </c>
      <c r="L279" s="62" t="n">
        <v>0</v>
      </c>
      <c r="M279" s="62" t="n">
        <v>0</v>
      </c>
      <c r="N279" s="62">
        <f>G279*M279</f>
      </c>
      <c r="O279" s="64" t="s">
        <v>591</v>
      </c>
      <c r="Z279" s="62">
        <f>ROUND(IF(AQ279="5",BJ279,0),2)</f>
      </c>
      <c r="AB279" s="62">
        <f>ROUND(IF(AQ279="1",BH279,0),2)</f>
      </c>
      <c r="AC279" s="62">
        <f>ROUND(IF(AQ279="1",BI279,0),2)</f>
      </c>
      <c r="AD279" s="62">
        <f>ROUND(IF(AQ279="7",BH279,0),2)</f>
      </c>
      <c r="AE279" s="62">
        <f>ROUND(IF(AQ279="7",BI279,0),2)</f>
      </c>
      <c r="AF279" s="62">
        <f>ROUND(IF(AQ279="2",BH279,0),2)</f>
      </c>
      <c r="AG279" s="62">
        <f>ROUND(IF(AQ279="2",BI279,0),2)</f>
      </c>
      <c r="AH279" s="62">
        <f>ROUND(IF(AQ279="0",BJ279,0),2)</f>
      </c>
      <c r="AI279" s="35" t="s">
        <v>583</v>
      </c>
      <c r="AJ279" s="62">
        <f>IF(AN279=0,K279,0)</f>
      </c>
      <c r="AK279" s="62">
        <f>IF(AN279=12,K279,0)</f>
      </c>
      <c r="AL279" s="62">
        <f>IF(AN279=21,K279,0)</f>
      </c>
      <c r="AN279" s="62" t="n">
        <v>21</v>
      </c>
      <c r="AO279" s="62">
        <f>H279*0</f>
      </c>
      <c r="AP279" s="62">
        <f>H279*(1-0)</f>
      </c>
      <c r="AQ279" s="65" t="s">
        <v>59</v>
      </c>
      <c r="AV279" s="62">
        <f>ROUND(AW279+AX279,2)</f>
      </c>
      <c r="AW279" s="62">
        <f>ROUND(G279*AO279,2)</f>
      </c>
      <c r="AX279" s="62">
        <f>ROUND(G279*AP279,2)</f>
      </c>
      <c r="AY279" s="65" t="s">
        <v>592</v>
      </c>
      <c r="AZ279" s="65" t="s">
        <v>593</v>
      </c>
      <c r="BA279" s="35" t="s">
        <v>594</v>
      </c>
      <c r="BC279" s="62">
        <f>AW279+AX279</f>
      </c>
      <c r="BD279" s="62">
        <f>H279/(100-BE279)*100</f>
      </c>
      <c r="BE279" s="62" t="n">
        <v>0</v>
      </c>
      <c r="BF279" s="62">
        <f>N279</f>
      </c>
      <c r="BH279" s="62">
        <f>G279*AO279</f>
      </c>
      <c r="BI279" s="62">
        <f>G279*AP279</f>
      </c>
      <c r="BJ279" s="62">
        <f>G279*H279</f>
      </c>
      <c r="BK279" s="65" t="s">
        <v>67</v>
      </c>
      <c r="BL279" s="62"/>
      <c r="BW279" s="62" t="n">
        <v>21</v>
      </c>
      <c r="BX279" s="16" t="s">
        <v>603</v>
      </c>
    </row>
    <row r="280" customHeight="true" ht="27">
      <c r="A280" s="66"/>
      <c r="C280" s="76" t="s">
        <v>71</v>
      </c>
      <c r="D280" s="77" t="s">
        <v>604</v>
      </c>
      <c r="E280" s="78"/>
      <c r="F280" s="78"/>
      <c r="G280" s="78"/>
      <c r="H280" s="79"/>
      <c r="I280" s="78"/>
      <c r="J280" s="78"/>
      <c r="K280" s="78"/>
      <c r="L280" s="78"/>
      <c r="M280" s="78"/>
      <c r="N280" s="78"/>
      <c r="O280" s="80"/>
    </row>
    <row r="281">
      <c r="A281" s="10" t="s">
        <v>605</v>
      </c>
      <c r="B281" s="11" t="s">
        <v>583</v>
      </c>
      <c r="C281" s="11" t="s">
        <v>588</v>
      </c>
      <c r="D281" s="16" t="s">
        <v>606</v>
      </c>
      <c r="E281" s="11"/>
      <c r="F281" s="11" t="s">
        <v>590</v>
      </c>
      <c r="G281" s="62" t="n">
        <v>1</v>
      </c>
      <c r="H281" s="63" t="n">
        <v>0</v>
      </c>
      <c r="I281" s="62">
        <f>ROUND(G281*AO281,2)</f>
      </c>
      <c r="J281" s="62">
        <f>ROUND(G281*AP281,2)</f>
      </c>
      <c r="K281" s="62">
        <f>ROUND(G281*H281,2)</f>
      </c>
      <c r="L281" s="62" t="n">
        <v>0</v>
      </c>
      <c r="M281" s="62" t="n">
        <v>0</v>
      </c>
      <c r="N281" s="62">
        <f>G281*M281</f>
      </c>
      <c r="O281" s="64" t="s">
        <v>591</v>
      </c>
      <c r="Z281" s="62">
        <f>ROUND(IF(AQ281="5",BJ281,0),2)</f>
      </c>
      <c r="AB281" s="62">
        <f>ROUND(IF(AQ281="1",BH281,0),2)</f>
      </c>
      <c r="AC281" s="62">
        <f>ROUND(IF(AQ281="1",BI281,0),2)</f>
      </c>
      <c r="AD281" s="62">
        <f>ROUND(IF(AQ281="7",BH281,0),2)</f>
      </c>
      <c r="AE281" s="62">
        <f>ROUND(IF(AQ281="7",BI281,0),2)</f>
      </c>
      <c r="AF281" s="62">
        <f>ROUND(IF(AQ281="2",BH281,0),2)</f>
      </c>
      <c r="AG281" s="62">
        <f>ROUND(IF(AQ281="2",BI281,0),2)</f>
      </c>
      <c r="AH281" s="62">
        <f>ROUND(IF(AQ281="0",BJ281,0),2)</f>
      </c>
      <c r="AI281" s="35" t="s">
        <v>583</v>
      </c>
      <c r="AJ281" s="62">
        <f>IF(AN281=0,K281,0)</f>
      </c>
      <c r="AK281" s="62">
        <f>IF(AN281=12,K281,0)</f>
      </c>
      <c r="AL281" s="62">
        <f>IF(AN281=21,K281,0)</f>
      </c>
      <c r="AN281" s="62" t="n">
        <v>21</v>
      </c>
      <c r="AO281" s="62">
        <f>H281*0</f>
      </c>
      <c r="AP281" s="62">
        <f>H281*(1-0)</f>
      </c>
      <c r="AQ281" s="65" t="s">
        <v>59</v>
      </c>
      <c r="AV281" s="62">
        <f>ROUND(AW281+AX281,2)</f>
      </c>
      <c r="AW281" s="62">
        <f>ROUND(G281*AO281,2)</f>
      </c>
      <c r="AX281" s="62">
        <f>ROUND(G281*AP281,2)</f>
      </c>
      <c r="AY281" s="65" t="s">
        <v>592</v>
      </c>
      <c r="AZ281" s="65" t="s">
        <v>593</v>
      </c>
      <c r="BA281" s="35" t="s">
        <v>594</v>
      </c>
      <c r="BC281" s="62">
        <f>AW281+AX281</f>
      </c>
      <c r="BD281" s="62">
        <f>H281/(100-BE281)*100</f>
      </c>
      <c r="BE281" s="62" t="n">
        <v>0</v>
      </c>
      <c r="BF281" s="62">
        <f>N281</f>
      </c>
      <c r="BH281" s="62">
        <f>G281*AO281</f>
      </c>
      <c r="BI281" s="62">
        <f>G281*AP281</f>
      </c>
      <c r="BJ281" s="62">
        <f>G281*H281</f>
      </c>
      <c r="BK281" s="65" t="s">
        <v>67</v>
      </c>
      <c r="BL281" s="62"/>
      <c r="BW281" s="62" t="n">
        <v>21</v>
      </c>
      <c r="BX281" s="16" t="s">
        <v>606</v>
      </c>
    </row>
    <row r="282" customHeight="true" ht="13.5">
      <c r="A282" s="66"/>
      <c r="C282" s="76" t="s">
        <v>71</v>
      </c>
      <c r="D282" s="77" t="s">
        <v>607</v>
      </c>
      <c r="E282" s="78"/>
      <c r="F282" s="78"/>
      <c r="G282" s="78"/>
      <c r="H282" s="79"/>
      <c r="I282" s="78"/>
      <c r="J282" s="78"/>
      <c r="K282" s="78"/>
      <c r="L282" s="78"/>
      <c r="M282" s="78"/>
      <c r="N282" s="78"/>
      <c r="O282" s="80"/>
    </row>
    <row r="283">
      <c r="A283" s="10" t="s">
        <v>608</v>
      </c>
      <c r="B283" s="11" t="s">
        <v>583</v>
      </c>
      <c r="C283" s="11" t="s">
        <v>588</v>
      </c>
      <c r="D283" s="16" t="s">
        <v>609</v>
      </c>
      <c r="E283" s="11"/>
      <c r="F283" s="11" t="s">
        <v>590</v>
      </c>
      <c r="G283" s="62" t="n">
        <v>1</v>
      </c>
      <c r="H283" s="63" t="n">
        <v>0</v>
      </c>
      <c r="I283" s="62">
        <f>ROUND(G283*AO283,2)</f>
      </c>
      <c r="J283" s="62">
        <f>ROUND(G283*AP283,2)</f>
      </c>
      <c r="K283" s="62">
        <f>ROUND(G283*H283,2)</f>
      </c>
      <c r="L283" s="62" t="n">
        <v>0</v>
      </c>
      <c r="M283" s="62" t="n">
        <v>0</v>
      </c>
      <c r="N283" s="62">
        <f>G283*M283</f>
      </c>
      <c r="O283" s="64" t="s">
        <v>591</v>
      </c>
      <c r="Z283" s="62">
        <f>ROUND(IF(AQ283="5",BJ283,0),2)</f>
      </c>
      <c r="AB283" s="62">
        <f>ROUND(IF(AQ283="1",BH283,0),2)</f>
      </c>
      <c r="AC283" s="62">
        <f>ROUND(IF(AQ283="1",BI283,0),2)</f>
      </c>
      <c r="AD283" s="62">
        <f>ROUND(IF(AQ283="7",BH283,0),2)</f>
      </c>
      <c r="AE283" s="62">
        <f>ROUND(IF(AQ283="7",BI283,0),2)</f>
      </c>
      <c r="AF283" s="62">
        <f>ROUND(IF(AQ283="2",BH283,0),2)</f>
      </c>
      <c r="AG283" s="62">
        <f>ROUND(IF(AQ283="2",BI283,0),2)</f>
      </c>
      <c r="AH283" s="62">
        <f>ROUND(IF(AQ283="0",BJ283,0),2)</f>
      </c>
      <c r="AI283" s="35" t="s">
        <v>583</v>
      </c>
      <c r="AJ283" s="62">
        <f>IF(AN283=0,K283,0)</f>
      </c>
      <c r="AK283" s="62">
        <f>IF(AN283=12,K283,0)</f>
      </c>
      <c r="AL283" s="62">
        <f>IF(AN283=21,K283,0)</f>
      </c>
      <c r="AN283" s="62" t="n">
        <v>21</v>
      </c>
      <c r="AO283" s="62">
        <f>H283*0</f>
      </c>
      <c r="AP283" s="62">
        <f>H283*(1-0)</f>
      </c>
      <c r="AQ283" s="65" t="s">
        <v>59</v>
      </c>
      <c r="AV283" s="62">
        <f>ROUND(AW283+AX283,2)</f>
      </c>
      <c r="AW283" s="62">
        <f>ROUND(G283*AO283,2)</f>
      </c>
      <c r="AX283" s="62">
        <f>ROUND(G283*AP283,2)</f>
      </c>
      <c r="AY283" s="65" t="s">
        <v>592</v>
      </c>
      <c r="AZ283" s="65" t="s">
        <v>593</v>
      </c>
      <c r="BA283" s="35" t="s">
        <v>594</v>
      </c>
      <c r="BC283" s="62">
        <f>AW283+AX283</f>
      </c>
      <c r="BD283" s="62">
        <f>H283/(100-BE283)*100</f>
      </c>
      <c r="BE283" s="62" t="n">
        <v>0</v>
      </c>
      <c r="BF283" s="62">
        <f>N283</f>
      </c>
      <c r="BH283" s="62">
        <f>G283*AO283</f>
      </c>
      <c r="BI283" s="62">
        <f>G283*AP283</f>
      </c>
      <c r="BJ283" s="62">
        <f>G283*H283</f>
      </c>
      <c r="BK283" s="65" t="s">
        <v>67</v>
      </c>
      <c r="BL283" s="62"/>
      <c r="BW283" s="62" t="n">
        <v>21</v>
      </c>
      <c r="BX283" s="16" t="s">
        <v>609</v>
      </c>
    </row>
    <row r="284" customHeight="true" ht="13.5">
      <c r="A284" s="66"/>
      <c r="C284" s="76" t="s">
        <v>71</v>
      </c>
      <c r="D284" s="77" t="s">
        <v>610</v>
      </c>
      <c r="E284" s="78"/>
      <c r="F284" s="78"/>
      <c r="G284" s="78"/>
      <c r="H284" s="79"/>
      <c r="I284" s="78"/>
      <c r="J284" s="78"/>
      <c r="K284" s="78"/>
      <c r="L284" s="78"/>
      <c r="M284" s="78"/>
      <c r="N284" s="78"/>
      <c r="O284" s="80"/>
    </row>
    <row r="285">
      <c r="A285" s="10" t="s">
        <v>611</v>
      </c>
      <c r="B285" s="11" t="s">
        <v>583</v>
      </c>
      <c r="C285" s="11" t="s">
        <v>588</v>
      </c>
      <c r="D285" s="16" t="s">
        <v>612</v>
      </c>
      <c r="E285" s="11"/>
      <c r="F285" s="11" t="s">
        <v>590</v>
      </c>
      <c r="G285" s="62" t="n">
        <v>1</v>
      </c>
      <c r="H285" s="63" t="n">
        <v>0</v>
      </c>
      <c r="I285" s="62">
        <f>ROUND(G285*AO285,2)</f>
      </c>
      <c r="J285" s="62">
        <f>ROUND(G285*AP285,2)</f>
      </c>
      <c r="K285" s="62">
        <f>ROUND(G285*H285,2)</f>
      </c>
      <c r="L285" s="62" t="n">
        <v>0</v>
      </c>
      <c r="M285" s="62" t="n">
        <v>0</v>
      </c>
      <c r="N285" s="62">
        <f>G285*M285</f>
      </c>
      <c r="O285" s="64" t="s">
        <v>591</v>
      </c>
      <c r="Z285" s="62">
        <f>ROUND(IF(AQ285="5",BJ285,0),2)</f>
      </c>
      <c r="AB285" s="62">
        <f>ROUND(IF(AQ285="1",BH285,0),2)</f>
      </c>
      <c r="AC285" s="62">
        <f>ROUND(IF(AQ285="1",BI285,0),2)</f>
      </c>
      <c r="AD285" s="62">
        <f>ROUND(IF(AQ285="7",BH285,0),2)</f>
      </c>
      <c r="AE285" s="62">
        <f>ROUND(IF(AQ285="7",BI285,0),2)</f>
      </c>
      <c r="AF285" s="62">
        <f>ROUND(IF(AQ285="2",BH285,0),2)</f>
      </c>
      <c r="AG285" s="62">
        <f>ROUND(IF(AQ285="2",BI285,0),2)</f>
      </c>
      <c r="AH285" s="62">
        <f>ROUND(IF(AQ285="0",BJ285,0),2)</f>
      </c>
      <c r="AI285" s="35" t="s">
        <v>583</v>
      </c>
      <c r="AJ285" s="62">
        <f>IF(AN285=0,K285,0)</f>
      </c>
      <c r="AK285" s="62">
        <f>IF(AN285=12,K285,0)</f>
      </c>
      <c r="AL285" s="62">
        <f>IF(AN285=21,K285,0)</f>
      </c>
      <c r="AN285" s="62" t="n">
        <v>21</v>
      </c>
      <c r="AO285" s="62">
        <f>H285*0</f>
      </c>
      <c r="AP285" s="62">
        <f>H285*(1-0)</f>
      </c>
      <c r="AQ285" s="65" t="s">
        <v>59</v>
      </c>
      <c r="AV285" s="62">
        <f>ROUND(AW285+AX285,2)</f>
      </c>
      <c r="AW285" s="62">
        <f>ROUND(G285*AO285,2)</f>
      </c>
      <c r="AX285" s="62">
        <f>ROUND(G285*AP285,2)</f>
      </c>
      <c r="AY285" s="65" t="s">
        <v>592</v>
      </c>
      <c r="AZ285" s="65" t="s">
        <v>593</v>
      </c>
      <c r="BA285" s="35" t="s">
        <v>594</v>
      </c>
      <c r="BC285" s="62">
        <f>AW285+AX285</f>
      </c>
      <c r="BD285" s="62">
        <f>H285/(100-BE285)*100</f>
      </c>
      <c r="BE285" s="62" t="n">
        <v>0</v>
      </c>
      <c r="BF285" s="62">
        <f>N285</f>
      </c>
      <c r="BH285" s="62">
        <f>G285*AO285</f>
      </c>
      <c r="BI285" s="62">
        <f>G285*AP285</f>
      </c>
      <c r="BJ285" s="62">
        <f>G285*H285</f>
      </c>
      <c r="BK285" s="65" t="s">
        <v>67</v>
      </c>
      <c r="BL285" s="62"/>
      <c r="BW285" s="62" t="n">
        <v>21</v>
      </c>
      <c r="BX285" s="16" t="s">
        <v>612</v>
      </c>
    </row>
    <row r="286" customHeight="true" ht="27">
      <c r="A286" s="66"/>
      <c r="C286" s="76" t="s">
        <v>71</v>
      </c>
      <c r="D286" s="77" t="s">
        <v>613</v>
      </c>
      <c r="E286" s="78"/>
      <c r="F286" s="78"/>
      <c r="G286" s="78"/>
      <c r="H286" s="79"/>
      <c r="I286" s="78"/>
      <c r="J286" s="78"/>
      <c r="K286" s="78"/>
      <c r="L286" s="78"/>
      <c r="M286" s="78"/>
      <c r="N286" s="78"/>
      <c r="O286" s="80"/>
    </row>
    <row r="287">
      <c r="A287" s="10" t="s">
        <v>614</v>
      </c>
      <c r="B287" s="11" t="s">
        <v>583</v>
      </c>
      <c r="C287" s="11" t="s">
        <v>588</v>
      </c>
      <c r="D287" s="16" t="s">
        <v>615</v>
      </c>
      <c r="E287" s="11"/>
      <c r="F287" s="11" t="s">
        <v>590</v>
      </c>
      <c r="G287" s="62" t="n">
        <v>1</v>
      </c>
      <c r="H287" s="63" t="n">
        <v>0</v>
      </c>
      <c r="I287" s="62">
        <f>ROUND(G287*AO287,2)</f>
      </c>
      <c r="J287" s="62">
        <f>ROUND(G287*AP287,2)</f>
      </c>
      <c r="K287" s="62">
        <f>ROUND(G287*H287,2)</f>
      </c>
      <c r="L287" s="62" t="n">
        <v>0</v>
      </c>
      <c r="M287" s="62" t="n">
        <v>0</v>
      </c>
      <c r="N287" s="62">
        <f>G287*M287</f>
      </c>
      <c r="O287" s="64" t="s">
        <v>591</v>
      </c>
      <c r="Z287" s="62">
        <f>ROUND(IF(AQ287="5",BJ287,0),2)</f>
      </c>
      <c r="AB287" s="62">
        <f>ROUND(IF(AQ287="1",BH287,0),2)</f>
      </c>
      <c r="AC287" s="62">
        <f>ROUND(IF(AQ287="1",BI287,0),2)</f>
      </c>
      <c r="AD287" s="62">
        <f>ROUND(IF(AQ287="7",BH287,0),2)</f>
      </c>
      <c r="AE287" s="62">
        <f>ROUND(IF(AQ287="7",BI287,0),2)</f>
      </c>
      <c r="AF287" s="62">
        <f>ROUND(IF(AQ287="2",BH287,0),2)</f>
      </c>
      <c r="AG287" s="62">
        <f>ROUND(IF(AQ287="2",BI287,0),2)</f>
      </c>
      <c r="AH287" s="62">
        <f>ROUND(IF(AQ287="0",BJ287,0),2)</f>
      </c>
      <c r="AI287" s="35" t="s">
        <v>583</v>
      </c>
      <c r="AJ287" s="62">
        <f>IF(AN287=0,K287,0)</f>
      </c>
      <c r="AK287" s="62">
        <f>IF(AN287=12,K287,0)</f>
      </c>
      <c r="AL287" s="62">
        <f>IF(AN287=21,K287,0)</f>
      </c>
      <c r="AN287" s="62" t="n">
        <v>21</v>
      </c>
      <c r="AO287" s="62">
        <f>H287*0</f>
      </c>
      <c r="AP287" s="62">
        <f>H287*(1-0)</f>
      </c>
      <c r="AQ287" s="65" t="s">
        <v>59</v>
      </c>
      <c r="AV287" s="62">
        <f>ROUND(AW287+AX287,2)</f>
      </c>
      <c r="AW287" s="62">
        <f>ROUND(G287*AO287,2)</f>
      </c>
      <c r="AX287" s="62">
        <f>ROUND(G287*AP287,2)</f>
      </c>
      <c r="AY287" s="65" t="s">
        <v>592</v>
      </c>
      <c r="AZ287" s="65" t="s">
        <v>593</v>
      </c>
      <c r="BA287" s="35" t="s">
        <v>594</v>
      </c>
      <c r="BC287" s="62">
        <f>AW287+AX287</f>
      </c>
      <c r="BD287" s="62">
        <f>H287/(100-BE287)*100</f>
      </c>
      <c r="BE287" s="62" t="n">
        <v>0</v>
      </c>
      <c r="BF287" s="62">
        <f>N287</f>
      </c>
      <c r="BH287" s="62">
        <f>G287*AO287</f>
      </c>
      <c r="BI287" s="62">
        <f>G287*AP287</f>
      </c>
      <c r="BJ287" s="62">
        <f>G287*H287</f>
      </c>
      <c r="BK287" s="65" t="s">
        <v>67</v>
      </c>
      <c r="BL287" s="62"/>
      <c r="BW287" s="62" t="n">
        <v>21</v>
      </c>
      <c r="BX287" s="16" t="s">
        <v>615</v>
      </c>
    </row>
    <row r="288" customHeight="true" ht="13.5">
      <c r="A288" s="66"/>
      <c r="C288" s="76" t="s">
        <v>71</v>
      </c>
      <c r="D288" s="77" t="s">
        <v>616</v>
      </c>
      <c r="E288" s="78"/>
      <c r="F288" s="78"/>
      <c r="G288" s="78"/>
      <c r="H288" s="79"/>
      <c r="I288" s="78"/>
      <c r="J288" s="78"/>
      <c r="K288" s="78"/>
      <c r="L288" s="78"/>
      <c r="M288" s="78"/>
      <c r="N288" s="78"/>
      <c r="O288" s="80"/>
    </row>
    <row r="289">
      <c r="A289" s="10" t="s">
        <v>617</v>
      </c>
      <c r="B289" s="11" t="s">
        <v>583</v>
      </c>
      <c r="C289" s="11" t="s">
        <v>588</v>
      </c>
      <c r="D289" s="16" t="s">
        <v>618</v>
      </c>
      <c r="E289" s="11"/>
      <c r="F289" s="11" t="s">
        <v>590</v>
      </c>
      <c r="G289" s="62" t="n">
        <v>1</v>
      </c>
      <c r="H289" s="63" t="n">
        <v>0</v>
      </c>
      <c r="I289" s="62">
        <f>ROUND(G289*AO289,2)</f>
      </c>
      <c r="J289" s="62">
        <f>ROUND(G289*AP289,2)</f>
      </c>
      <c r="K289" s="62">
        <f>ROUND(G289*H289,2)</f>
      </c>
      <c r="L289" s="62" t="n">
        <v>0</v>
      </c>
      <c r="M289" s="62" t="n">
        <v>0</v>
      </c>
      <c r="N289" s="62">
        <f>G289*M289</f>
      </c>
      <c r="O289" s="64" t="s">
        <v>591</v>
      </c>
      <c r="Z289" s="62">
        <f>ROUND(IF(AQ289="5",BJ289,0),2)</f>
      </c>
      <c r="AB289" s="62">
        <f>ROUND(IF(AQ289="1",BH289,0),2)</f>
      </c>
      <c r="AC289" s="62">
        <f>ROUND(IF(AQ289="1",BI289,0),2)</f>
      </c>
      <c r="AD289" s="62">
        <f>ROUND(IF(AQ289="7",BH289,0),2)</f>
      </c>
      <c r="AE289" s="62">
        <f>ROUND(IF(AQ289="7",BI289,0),2)</f>
      </c>
      <c r="AF289" s="62">
        <f>ROUND(IF(AQ289="2",BH289,0),2)</f>
      </c>
      <c r="AG289" s="62">
        <f>ROUND(IF(AQ289="2",BI289,0),2)</f>
      </c>
      <c r="AH289" s="62">
        <f>ROUND(IF(AQ289="0",BJ289,0),2)</f>
      </c>
      <c r="AI289" s="35" t="s">
        <v>583</v>
      </c>
      <c r="AJ289" s="62">
        <f>IF(AN289=0,K289,0)</f>
      </c>
      <c r="AK289" s="62">
        <f>IF(AN289=12,K289,0)</f>
      </c>
      <c r="AL289" s="62">
        <f>IF(AN289=21,K289,0)</f>
      </c>
      <c r="AN289" s="62" t="n">
        <v>21</v>
      </c>
      <c r="AO289" s="62">
        <f>H289*0</f>
      </c>
      <c r="AP289" s="62">
        <f>H289*(1-0)</f>
      </c>
      <c r="AQ289" s="65" t="s">
        <v>59</v>
      </c>
      <c r="AV289" s="62">
        <f>ROUND(AW289+AX289,2)</f>
      </c>
      <c r="AW289" s="62">
        <f>ROUND(G289*AO289,2)</f>
      </c>
      <c r="AX289" s="62">
        <f>ROUND(G289*AP289,2)</f>
      </c>
      <c r="AY289" s="65" t="s">
        <v>592</v>
      </c>
      <c r="AZ289" s="65" t="s">
        <v>593</v>
      </c>
      <c r="BA289" s="35" t="s">
        <v>594</v>
      </c>
      <c r="BC289" s="62">
        <f>AW289+AX289</f>
      </c>
      <c r="BD289" s="62">
        <f>H289/(100-BE289)*100</f>
      </c>
      <c r="BE289" s="62" t="n">
        <v>0</v>
      </c>
      <c r="BF289" s="62">
        <f>N289</f>
      </c>
      <c r="BH289" s="62">
        <f>G289*AO289</f>
      </c>
      <c r="BI289" s="62">
        <f>G289*AP289</f>
      </c>
      <c r="BJ289" s="62">
        <f>G289*H289</f>
      </c>
      <c r="BK289" s="65" t="s">
        <v>67</v>
      </c>
      <c r="BL289" s="62"/>
      <c r="BW289" s="62" t="n">
        <v>21</v>
      </c>
      <c r="BX289" s="16" t="s">
        <v>618</v>
      </c>
    </row>
    <row r="290" customHeight="true" ht="40.5">
      <c r="A290" s="66"/>
      <c r="C290" s="76" t="s">
        <v>71</v>
      </c>
      <c r="D290" s="77" t="s">
        <v>619</v>
      </c>
      <c r="E290" s="78"/>
      <c r="F290" s="78"/>
      <c r="G290" s="78"/>
      <c r="H290" s="79"/>
      <c r="I290" s="78"/>
      <c r="J290" s="78"/>
      <c r="K290" s="78"/>
      <c r="L290" s="78"/>
      <c r="M290" s="78"/>
      <c r="N290" s="78"/>
      <c r="O290" s="80"/>
    </row>
    <row r="291">
      <c r="A291" s="10" t="s">
        <v>620</v>
      </c>
      <c r="B291" s="11" t="s">
        <v>583</v>
      </c>
      <c r="C291" s="11" t="s">
        <v>588</v>
      </c>
      <c r="D291" s="16" t="s">
        <v>621</v>
      </c>
      <c r="E291" s="11"/>
      <c r="F291" s="11" t="s">
        <v>590</v>
      </c>
      <c r="G291" s="62" t="n">
        <v>1</v>
      </c>
      <c r="H291" s="63" t="n">
        <v>0</v>
      </c>
      <c r="I291" s="62">
        <f>ROUND(G291*AO291,2)</f>
      </c>
      <c r="J291" s="62">
        <f>ROUND(G291*AP291,2)</f>
      </c>
      <c r="K291" s="62">
        <f>ROUND(G291*H291,2)</f>
      </c>
      <c r="L291" s="62" t="n">
        <v>0</v>
      </c>
      <c r="M291" s="62" t="n">
        <v>0</v>
      </c>
      <c r="N291" s="62">
        <f>G291*M291</f>
      </c>
      <c r="O291" s="64" t="s">
        <v>591</v>
      </c>
      <c r="Z291" s="62">
        <f>ROUND(IF(AQ291="5",BJ291,0),2)</f>
      </c>
      <c r="AB291" s="62">
        <f>ROUND(IF(AQ291="1",BH291,0),2)</f>
      </c>
      <c r="AC291" s="62">
        <f>ROUND(IF(AQ291="1",BI291,0),2)</f>
      </c>
      <c r="AD291" s="62">
        <f>ROUND(IF(AQ291="7",BH291,0),2)</f>
      </c>
      <c r="AE291" s="62">
        <f>ROUND(IF(AQ291="7",BI291,0),2)</f>
      </c>
      <c r="AF291" s="62">
        <f>ROUND(IF(AQ291="2",BH291,0),2)</f>
      </c>
      <c r="AG291" s="62">
        <f>ROUND(IF(AQ291="2",BI291,0),2)</f>
      </c>
      <c r="AH291" s="62">
        <f>ROUND(IF(AQ291="0",BJ291,0),2)</f>
      </c>
      <c r="AI291" s="35" t="s">
        <v>583</v>
      </c>
      <c r="AJ291" s="62">
        <f>IF(AN291=0,K291,0)</f>
      </c>
      <c r="AK291" s="62">
        <f>IF(AN291=12,K291,0)</f>
      </c>
      <c r="AL291" s="62">
        <f>IF(AN291=21,K291,0)</f>
      </c>
      <c r="AN291" s="62" t="n">
        <v>21</v>
      </c>
      <c r="AO291" s="62">
        <f>H291*0</f>
      </c>
      <c r="AP291" s="62">
        <f>H291*(1-0)</f>
      </c>
      <c r="AQ291" s="65" t="s">
        <v>59</v>
      </c>
      <c r="AV291" s="62">
        <f>ROUND(AW291+AX291,2)</f>
      </c>
      <c r="AW291" s="62">
        <f>ROUND(G291*AO291,2)</f>
      </c>
      <c r="AX291" s="62">
        <f>ROUND(G291*AP291,2)</f>
      </c>
      <c r="AY291" s="65" t="s">
        <v>592</v>
      </c>
      <c r="AZ291" s="65" t="s">
        <v>593</v>
      </c>
      <c r="BA291" s="35" t="s">
        <v>594</v>
      </c>
      <c r="BC291" s="62">
        <f>AW291+AX291</f>
      </c>
      <c r="BD291" s="62">
        <f>H291/(100-BE291)*100</f>
      </c>
      <c r="BE291" s="62" t="n">
        <v>0</v>
      </c>
      <c r="BF291" s="62">
        <f>N291</f>
      </c>
      <c r="BH291" s="62">
        <f>G291*AO291</f>
      </c>
      <c r="BI291" s="62">
        <f>G291*AP291</f>
      </c>
      <c r="BJ291" s="62">
        <f>G291*H291</f>
      </c>
      <c r="BK291" s="65" t="s">
        <v>67</v>
      </c>
      <c r="BL291" s="62"/>
      <c r="BW291" s="62" t="n">
        <v>21</v>
      </c>
      <c r="BX291" s="16" t="s">
        <v>621</v>
      </c>
    </row>
    <row r="292" customHeight="true" ht="13.5">
      <c r="A292" s="66"/>
      <c r="C292" s="76" t="s">
        <v>71</v>
      </c>
      <c r="D292" s="77" t="s">
        <v>622</v>
      </c>
      <c r="E292" s="78"/>
      <c r="F292" s="78"/>
      <c r="G292" s="78"/>
      <c r="H292" s="79"/>
      <c r="I292" s="78"/>
      <c r="J292" s="78"/>
      <c r="K292" s="78"/>
      <c r="L292" s="78"/>
      <c r="M292" s="78"/>
      <c r="N292" s="78"/>
      <c r="O292" s="80"/>
    </row>
    <row r="293">
      <c r="A293" s="10" t="s">
        <v>623</v>
      </c>
      <c r="B293" s="11" t="s">
        <v>583</v>
      </c>
      <c r="C293" s="11" t="s">
        <v>588</v>
      </c>
      <c r="D293" s="16" t="s">
        <v>624</v>
      </c>
      <c r="E293" s="11"/>
      <c r="F293" s="11" t="s">
        <v>590</v>
      </c>
      <c r="G293" s="62" t="n">
        <v>1</v>
      </c>
      <c r="H293" s="63" t="n">
        <v>0</v>
      </c>
      <c r="I293" s="62">
        <f>ROUND(G293*AO293,2)</f>
      </c>
      <c r="J293" s="62">
        <f>ROUND(G293*AP293,2)</f>
      </c>
      <c r="K293" s="62">
        <f>ROUND(G293*H293,2)</f>
      </c>
      <c r="L293" s="62" t="n">
        <v>0</v>
      </c>
      <c r="M293" s="62" t="n">
        <v>0</v>
      </c>
      <c r="N293" s="62">
        <f>G293*M293</f>
      </c>
      <c r="O293" s="64" t="s">
        <v>591</v>
      </c>
      <c r="Z293" s="62">
        <f>ROUND(IF(AQ293="5",BJ293,0),2)</f>
      </c>
      <c r="AB293" s="62">
        <f>ROUND(IF(AQ293="1",BH293,0),2)</f>
      </c>
      <c r="AC293" s="62">
        <f>ROUND(IF(AQ293="1",BI293,0),2)</f>
      </c>
      <c r="AD293" s="62">
        <f>ROUND(IF(AQ293="7",BH293,0),2)</f>
      </c>
      <c r="AE293" s="62">
        <f>ROUND(IF(AQ293="7",BI293,0),2)</f>
      </c>
      <c r="AF293" s="62">
        <f>ROUND(IF(AQ293="2",BH293,0),2)</f>
      </c>
      <c r="AG293" s="62">
        <f>ROUND(IF(AQ293="2",BI293,0),2)</f>
      </c>
      <c r="AH293" s="62">
        <f>ROUND(IF(AQ293="0",BJ293,0),2)</f>
      </c>
      <c r="AI293" s="35" t="s">
        <v>583</v>
      </c>
      <c r="AJ293" s="62">
        <f>IF(AN293=0,K293,0)</f>
      </c>
      <c r="AK293" s="62">
        <f>IF(AN293=12,K293,0)</f>
      </c>
      <c r="AL293" s="62">
        <f>IF(AN293=21,K293,0)</f>
      </c>
      <c r="AN293" s="62" t="n">
        <v>21</v>
      </c>
      <c r="AO293" s="62">
        <f>H293*0</f>
      </c>
      <c r="AP293" s="62">
        <f>H293*(1-0)</f>
      </c>
      <c r="AQ293" s="65" t="s">
        <v>59</v>
      </c>
      <c r="AV293" s="62">
        <f>ROUND(AW293+AX293,2)</f>
      </c>
      <c r="AW293" s="62">
        <f>ROUND(G293*AO293,2)</f>
      </c>
      <c r="AX293" s="62">
        <f>ROUND(G293*AP293,2)</f>
      </c>
      <c r="AY293" s="65" t="s">
        <v>592</v>
      </c>
      <c r="AZ293" s="65" t="s">
        <v>593</v>
      </c>
      <c r="BA293" s="35" t="s">
        <v>594</v>
      </c>
      <c r="BC293" s="62">
        <f>AW293+AX293</f>
      </c>
      <c r="BD293" s="62">
        <f>H293/(100-BE293)*100</f>
      </c>
      <c r="BE293" s="62" t="n">
        <v>0</v>
      </c>
      <c r="BF293" s="62">
        <f>N293</f>
      </c>
      <c r="BH293" s="62">
        <f>G293*AO293</f>
      </c>
      <c r="BI293" s="62">
        <f>G293*AP293</f>
      </c>
      <c r="BJ293" s="62">
        <f>G293*H293</f>
      </c>
      <c r="BK293" s="65" t="s">
        <v>67</v>
      </c>
      <c r="BL293" s="62"/>
      <c r="BW293" s="62" t="n">
        <v>21</v>
      </c>
      <c r="BX293" s="16" t="s">
        <v>624</v>
      </c>
    </row>
    <row r="294" customHeight="true" ht="40.5">
      <c r="A294" s="114"/>
      <c r="B294" s="115"/>
      <c r="C294" s="116" t="s">
        <v>71</v>
      </c>
      <c r="D294" s="117" t="s">
        <v>625</v>
      </c>
      <c r="E294" s="118"/>
      <c r="F294" s="118"/>
      <c r="G294" s="118"/>
      <c r="H294" s="119"/>
      <c r="I294" s="118"/>
      <c r="J294" s="118"/>
      <c r="K294" s="118"/>
      <c r="L294" s="118"/>
      <c r="M294" s="118"/>
      <c r="N294" s="118"/>
      <c r="O294" s="120"/>
    </row>
    <row r="295">
      <c r="I295" s="121" t="s">
        <v>626</v>
      </c>
      <c r="J295" s="121"/>
      <c r="K295" s="122">
        <f>ROUND(K13+K18+K24+K28+K40+K44+K49+K54+K57+K72+K93+K98+K121+K133+K141+K149+K160+K165+K167+K171+K177+K188+K201+K220+K239+K242+K254+K272,2)</f>
      </c>
    </row>
    <row r="296">
      <c r="A296" s="123" t="s">
        <v>71</v>
      </c>
    </row>
    <row r="297" customHeight="true" ht="13.5">
      <c r="A297" s="16" t="s">
        <v>627</v>
      </c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CD50"/>
  <mergeCells>
    <mergeCell ref="A1:O1"/>
    <mergeCell ref="A2:C3"/>
    <mergeCell ref="A4:C5"/>
    <mergeCell ref="A6:C7"/>
    <mergeCell ref="A8:C9"/>
    <mergeCell ref="F2:G3"/>
    <mergeCell ref="F4:G5"/>
    <mergeCell ref="F6:G7"/>
    <mergeCell ref="F8:G9"/>
    <mergeCell ref="I2:I3"/>
    <mergeCell ref="I4:I5"/>
    <mergeCell ref="I6:I7"/>
    <mergeCell ref="I8:I9"/>
    <mergeCell ref="D2:E3"/>
    <mergeCell ref="D4:E5"/>
    <mergeCell ref="D6:E7"/>
    <mergeCell ref="D8:E9"/>
    <mergeCell ref="H2:H3"/>
    <mergeCell ref="H4:H5"/>
    <mergeCell ref="H6:H7"/>
    <mergeCell ref="H8:H9"/>
    <mergeCell ref="J2:O3"/>
    <mergeCell ref="J4:O5"/>
    <mergeCell ref="J6:O7"/>
    <mergeCell ref="J8:O9"/>
    <mergeCell ref="D10:E10"/>
    <mergeCell ref="D11:E11"/>
    <mergeCell ref="I10:K10"/>
    <mergeCell ref="L10:N10"/>
    <mergeCell ref="D12:E12"/>
    <mergeCell ref="D13:E13"/>
    <mergeCell ref="D14:E14"/>
    <mergeCell ref="D15:O15"/>
    <mergeCell ref="D17:O17"/>
    <mergeCell ref="D18:E18"/>
    <mergeCell ref="D19:E19"/>
    <mergeCell ref="D20:O20"/>
    <mergeCell ref="D22:E22"/>
    <mergeCell ref="D23:E23"/>
    <mergeCell ref="D24:E24"/>
    <mergeCell ref="D25:E25"/>
    <mergeCell ref="D26:O26"/>
    <mergeCell ref="D27:E27"/>
    <mergeCell ref="D28:E28"/>
    <mergeCell ref="D29:E29"/>
    <mergeCell ref="D30:O30"/>
    <mergeCell ref="D31:E31"/>
    <mergeCell ref="D32:O32"/>
    <mergeCell ref="D33:E33"/>
    <mergeCell ref="D34:O34"/>
    <mergeCell ref="D36:E36"/>
    <mergeCell ref="D37:O37"/>
    <mergeCell ref="D40:E40"/>
    <mergeCell ref="D41:E41"/>
    <mergeCell ref="D42:O42"/>
    <mergeCell ref="D43:O43"/>
    <mergeCell ref="D44:E44"/>
    <mergeCell ref="D45:E45"/>
    <mergeCell ref="D47:O47"/>
    <mergeCell ref="D48:E48"/>
    <mergeCell ref="D49:E49"/>
    <mergeCell ref="D50:E50"/>
    <mergeCell ref="D51:O51"/>
    <mergeCell ref="D53:O53"/>
    <mergeCell ref="D54:E54"/>
    <mergeCell ref="D55:E55"/>
    <mergeCell ref="D56:O56"/>
    <mergeCell ref="D57:E57"/>
    <mergeCell ref="D58:E58"/>
    <mergeCell ref="D60:E60"/>
    <mergeCell ref="D61:O61"/>
    <mergeCell ref="D63:E63"/>
    <mergeCell ref="D65:O65"/>
    <mergeCell ref="D66:E66"/>
    <mergeCell ref="D68:O68"/>
    <mergeCell ref="D69:E69"/>
    <mergeCell ref="D70:O70"/>
    <mergeCell ref="D72:E72"/>
    <mergeCell ref="D73:E73"/>
    <mergeCell ref="D75:E75"/>
    <mergeCell ref="D77:E77"/>
    <mergeCell ref="D78:O78"/>
    <mergeCell ref="D79:E79"/>
    <mergeCell ref="D80:O80"/>
    <mergeCell ref="D81:E81"/>
    <mergeCell ref="D83:E83"/>
    <mergeCell ref="D84:O84"/>
    <mergeCell ref="D86:O86"/>
    <mergeCell ref="D87:E87"/>
    <mergeCell ref="D88:O88"/>
    <mergeCell ref="D90:O90"/>
    <mergeCell ref="D91:E91"/>
    <mergeCell ref="D92:O92"/>
    <mergeCell ref="D93:E93"/>
    <mergeCell ref="D94:E94"/>
    <mergeCell ref="D95:O95"/>
    <mergeCell ref="D97:O97"/>
    <mergeCell ref="D98:E98"/>
    <mergeCell ref="D99:E99"/>
    <mergeCell ref="D100:O100"/>
    <mergeCell ref="D102:E102"/>
    <mergeCell ref="D103:O103"/>
    <mergeCell ref="D105:E105"/>
    <mergeCell ref="D107:E107"/>
    <mergeCell ref="D109:E109"/>
    <mergeCell ref="D110:E110"/>
    <mergeCell ref="D112:E112"/>
    <mergeCell ref="D113:E113"/>
    <mergeCell ref="D114:E114"/>
    <mergeCell ref="D115:E115"/>
    <mergeCell ref="D117:O117"/>
    <mergeCell ref="D118:E118"/>
    <mergeCell ref="D120:E120"/>
    <mergeCell ref="D121:E121"/>
    <mergeCell ref="D122:E122"/>
    <mergeCell ref="D123:E123"/>
    <mergeCell ref="D124:O124"/>
    <mergeCell ref="D126:E126"/>
    <mergeCell ref="D127:E127"/>
    <mergeCell ref="D128:E128"/>
    <mergeCell ref="D129:O129"/>
    <mergeCell ref="D130:E130"/>
    <mergeCell ref="D131:O131"/>
    <mergeCell ref="D133:E133"/>
    <mergeCell ref="D134:E134"/>
    <mergeCell ref="D135:O135"/>
    <mergeCell ref="D137:E137"/>
    <mergeCell ref="D138:O138"/>
    <mergeCell ref="D140:O140"/>
    <mergeCell ref="D141:E141"/>
    <mergeCell ref="D142:E142"/>
    <mergeCell ref="D143:E143"/>
    <mergeCell ref="D145:E145"/>
    <mergeCell ref="D146:O146"/>
    <mergeCell ref="D148:O148"/>
    <mergeCell ref="D149:E149"/>
    <mergeCell ref="D150:E150"/>
    <mergeCell ref="D151:O151"/>
    <mergeCell ref="D152:E152"/>
    <mergeCell ref="D153:O153"/>
    <mergeCell ref="D155:O155"/>
    <mergeCell ref="D156:E156"/>
    <mergeCell ref="D157:O157"/>
    <mergeCell ref="D158:E158"/>
    <mergeCell ref="D159:O159"/>
    <mergeCell ref="D160:E160"/>
    <mergeCell ref="D161:E161"/>
    <mergeCell ref="D162:O162"/>
    <mergeCell ref="D164:O164"/>
    <mergeCell ref="D165:E165"/>
    <mergeCell ref="D166:E166"/>
    <mergeCell ref="D167:E167"/>
    <mergeCell ref="D168:E168"/>
    <mergeCell ref="D169:E169"/>
    <mergeCell ref="D170:O170"/>
    <mergeCell ref="D171:E171"/>
    <mergeCell ref="D172:E172"/>
    <mergeCell ref="D173:O173"/>
    <mergeCell ref="D174:E174"/>
    <mergeCell ref="D175:O175"/>
    <mergeCell ref="D176:O176"/>
    <mergeCell ref="D177:E177"/>
    <mergeCell ref="D178:E178"/>
    <mergeCell ref="D180:E180"/>
    <mergeCell ref="D182:E182"/>
    <mergeCell ref="D183:E183"/>
    <mergeCell ref="D184:O184"/>
    <mergeCell ref="D185:E185"/>
    <mergeCell ref="D187:E187"/>
    <mergeCell ref="D188:E188"/>
    <mergeCell ref="D189:E189"/>
    <mergeCell ref="D190:O190"/>
    <mergeCell ref="D191:E191"/>
    <mergeCell ref="D193:E193"/>
    <mergeCell ref="D195:E195"/>
    <mergeCell ref="D196:O196"/>
    <mergeCell ref="D197:E197"/>
    <mergeCell ref="D198:O198"/>
    <mergeCell ref="D199:E199"/>
    <mergeCell ref="D200:O200"/>
    <mergeCell ref="D201:E201"/>
    <mergeCell ref="D202:E202"/>
    <mergeCell ref="D203:O203"/>
    <mergeCell ref="D205:E205"/>
    <mergeCell ref="D206:O206"/>
    <mergeCell ref="D209:E209"/>
    <mergeCell ref="D210:O210"/>
    <mergeCell ref="D212:E212"/>
    <mergeCell ref="D214:E214"/>
    <mergeCell ref="D215:E215"/>
    <mergeCell ref="D216:O216"/>
    <mergeCell ref="D218:E218"/>
    <mergeCell ref="D219:O219"/>
    <mergeCell ref="D220:E220"/>
    <mergeCell ref="D221:E221"/>
    <mergeCell ref="D222:O222"/>
    <mergeCell ref="D223:E223"/>
    <mergeCell ref="D224:O224"/>
    <mergeCell ref="D226:E226"/>
    <mergeCell ref="D227:O227"/>
    <mergeCell ref="D228:E228"/>
    <mergeCell ref="D230:E230"/>
    <mergeCell ref="D232:E232"/>
    <mergeCell ref="D234:E234"/>
    <mergeCell ref="D235:E235"/>
    <mergeCell ref="D236:E236"/>
    <mergeCell ref="D238:E238"/>
    <mergeCell ref="D239:E239"/>
    <mergeCell ref="D240:E240"/>
    <mergeCell ref="D242:E242"/>
    <mergeCell ref="D243:E243"/>
    <mergeCell ref="D244:O244"/>
    <mergeCell ref="D246:E246"/>
    <mergeCell ref="D248:E248"/>
    <mergeCell ref="D250:E250"/>
    <mergeCell ref="D251:E251"/>
    <mergeCell ref="D252:E252"/>
    <mergeCell ref="D254:E254"/>
    <mergeCell ref="D255:E255"/>
    <mergeCell ref="D256:E256"/>
    <mergeCell ref="D258:E258"/>
    <mergeCell ref="D259:O259"/>
    <mergeCell ref="D260:E260"/>
    <mergeCell ref="D261:E261"/>
    <mergeCell ref="D262:E262"/>
    <mergeCell ref="D263:E263"/>
    <mergeCell ref="D264:O264"/>
    <mergeCell ref="D265:E265"/>
    <mergeCell ref="D266:O266"/>
    <mergeCell ref="D267:E267"/>
    <mergeCell ref="D268:E268"/>
    <mergeCell ref="D269:E269"/>
    <mergeCell ref="D270:E270"/>
    <mergeCell ref="D271:E271"/>
    <mergeCell ref="D272:E272"/>
    <mergeCell ref="D273:E273"/>
    <mergeCell ref="D274:O274"/>
    <mergeCell ref="D275:E275"/>
    <mergeCell ref="D276:O276"/>
    <mergeCell ref="D277:E277"/>
    <mergeCell ref="D278:O278"/>
    <mergeCell ref="D279:E279"/>
    <mergeCell ref="D280:O280"/>
    <mergeCell ref="D281:E281"/>
    <mergeCell ref="D282:O282"/>
    <mergeCell ref="D283:E283"/>
    <mergeCell ref="D284:O284"/>
    <mergeCell ref="D285:E285"/>
    <mergeCell ref="D286:O286"/>
    <mergeCell ref="D287:E287"/>
    <mergeCell ref="D288:O288"/>
    <mergeCell ref="D289:E289"/>
    <mergeCell ref="D290:O290"/>
    <mergeCell ref="D291:E291"/>
    <mergeCell ref="D292:O292"/>
    <mergeCell ref="D293:E293"/>
    <mergeCell ref="D294:O294"/>
    <mergeCell ref="I295:J295"/>
    <mergeCell ref="A297:O297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P16"/>
  <sheetViews>
    <sheetView workbookViewId="0" showZeros="true" showFormulas="false" showGridLines="true" showRowColHeaders="true">
      <pane topLeftCell="A12" state="frozen" activePane="bottomLeft" ySplit="11"/>
      <selection pane="bottomLeft" sqref="A16:L16" activeCell="A16"/>
    </sheetView>
  </sheetViews>
  <sheetFormatPr defaultColWidth="12.140625" customHeight="true" defaultRowHeight="15"/>
  <cols>
    <col max="1" min="1" style="0" width="7.5703125" customWidth="true"/>
    <col max="8" min="2" style="0" width="15.7109375" customWidth="true"/>
    <col max="12" min="9" style="0" width="14.28515625" customWidth="true"/>
    <col max="16" min="13" style="0" width="12.140625" hidden="true"/>
  </cols>
  <sheetData>
    <row r="1" customHeight="true" ht="54.75">
      <c r="A1" s="1" t="s">
        <v>628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>
      <c r="A2" s="3" t="s">
        <v>1</v>
      </c>
      <c r="B2" s="4"/>
      <c r="C2" s="4"/>
      <c r="D2" s="5">
        <f>'Stavební rozpočet'!D2</f>
      </c>
      <c r="E2" s="6"/>
      <c r="F2" s="6"/>
      <c r="G2" s="8" t="s">
        <v>3</v>
      </c>
      <c r="H2" s="8">
        <f>'Stavební rozpočet'!H2</f>
      </c>
      <c r="I2" s="8" t="s">
        <v>5</v>
      </c>
      <c r="J2" s="8">
        <f>'Stavební rozpočet'!J2</f>
      </c>
      <c r="K2" s="4"/>
      <c r="L2" s="9"/>
    </row>
    <row r="3" customHeight="true" ht="15">
      <c r="A3" s="10"/>
      <c r="B3" s="11"/>
      <c r="C3" s="11"/>
      <c r="D3" s="12"/>
      <c r="E3" s="12"/>
      <c r="F3" s="12"/>
      <c r="G3" s="11"/>
      <c r="H3" s="11"/>
      <c r="I3" s="11"/>
      <c r="J3" s="11"/>
      <c r="K3" s="11"/>
      <c r="L3" s="14"/>
    </row>
    <row r="4">
      <c r="A4" s="15" t="s">
        <v>7</v>
      </c>
      <c r="B4" s="11"/>
      <c r="C4" s="11"/>
      <c r="D4" s="16">
        <f>'Stavební rozpočet'!D4</f>
      </c>
      <c r="E4" s="11"/>
      <c r="F4" s="11"/>
      <c r="G4" s="16" t="s">
        <v>8</v>
      </c>
      <c r="H4" s="16">
        <f>'Stavební rozpočet'!H4</f>
      </c>
      <c r="I4" s="16" t="s">
        <v>9</v>
      </c>
      <c r="J4" s="16">
        <f>'Stavební rozpočet'!J4</f>
      </c>
      <c r="K4" s="11"/>
      <c r="L4" s="14"/>
    </row>
    <row r="5" customHeight="true" ht="15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4"/>
    </row>
    <row r="6">
      <c r="A6" s="15" t="s">
        <v>11</v>
      </c>
      <c r="B6" s="11"/>
      <c r="C6" s="11"/>
      <c r="D6" s="16">
        <f>'Stavební rozpočet'!D6</f>
      </c>
      <c r="E6" s="11"/>
      <c r="F6" s="11"/>
      <c r="G6" s="16" t="s">
        <v>13</v>
      </c>
      <c r="H6" s="16">
        <f>'Stavební rozpočet'!H6</f>
      </c>
      <c r="I6" s="16" t="s">
        <v>14</v>
      </c>
      <c r="J6" s="16">
        <f>'Stavební rozpočet'!J6</f>
      </c>
      <c r="K6" s="11"/>
      <c r="L6" s="14"/>
    </row>
    <row r="7" customHeight="true" ht="15">
      <c r="A7" s="10"/>
      <c r="B7" s="11"/>
      <c r="C7" s="11"/>
      <c r="D7" s="11"/>
      <c r="E7" s="11"/>
      <c r="F7" s="11"/>
      <c r="G7" s="11"/>
      <c r="H7" s="11"/>
      <c r="I7" s="11"/>
      <c r="J7" s="11"/>
      <c r="K7" s="11"/>
      <c r="L7" s="14"/>
    </row>
    <row r="8">
      <c r="A8" s="15" t="s">
        <v>16</v>
      </c>
      <c r="B8" s="11"/>
      <c r="C8" s="11"/>
      <c r="D8" s="16">
        <f>'Stavební rozpočet'!D8</f>
      </c>
      <c r="E8" s="11"/>
      <c r="F8" s="11"/>
      <c r="G8" s="16" t="s">
        <v>17</v>
      </c>
      <c r="H8" s="16">
        <f>'Stavební rozpočet'!H8</f>
      </c>
      <c r="I8" s="16" t="s">
        <v>19</v>
      </c>
      <c r="J8" s="16">
        <f>'Stavební rozpočet'!J8</f>
      </c>
      <c r="K8" s="11"/>
      <c r="L8" s="14"/>
    </row>
    <row r="9">
      <c r="A9" s="19"/>
      <c r="B9" s="20"/>
      <c r="C9" s="20"/>
      <c r="D9" s="20"/>
      <c r="E9" s="20"/>
      <c r="F9" s="20"/>
      <c r="G9" s="20"/>
      <c r="H9" s="20"/>
      <c r="I9" s="20"/>
      <c r="J9" s="20"/>
      <c r="K9" s="20"/>
      <c r="L9" s="124"/>
    </row>
    <row r="10">
      <c r="A10" s="125" t="s">
        <v>4</v>
      </c>
      <c r="B10" s="126" t="s">
        <v>4</v>
      </c>
      <c r="C10" s="127"/>
      <c r="D10" s="127"/>
      <c r="E10" s="127"/>
      <c r="F10" s="127"/>
      <c r="G10" s="127"/>
      <c r="H10" s="128"/>
      <c r="I10" s="29" t="s">
        <v>28</v>
      </c>
      <c r="J10" s="30"/>
      <c r="K10" s="31"/>
      <c r="L10" s="129" t="s">
        <v>29</v>
      </c>
    </row>
    <row r="11">
      <c r="A11" s="130" t="s">
        <v>22</v>
      </c>
      <c r="B11" s="39" t="s">
        <v>629</v>
      </c>
      <c r="C11" s="131"/>
      <c r="D11" s="131"/>
      <c r="E11" s="131"/>
      <c r="F11" s="131"/>
      <c r="G11" s="131"/>
      <c r="H11" s="132"/>
      <c r="I11" s="42" t="s">
        <v>36</v>
      </c>
      <c r="J11" s="43" t="s">
        <v>37</v>
      </c>
      <c r="K11" s="44" t="s">
        <v>38</v>
      </c>
      <c r="L11" s="133" t="s">
        <v>38</v>
      </c>
    </row>
    <row r="12">
      <c r="A12" s="134" t="s">
        <v>55</v>
      </c>
      <c r="B12" s="135" t="s">
        <v>56</v>
      </c>
      <c r="C12" s="135"/>
      <c r="D12" s="135"/>
      <c r="E12" s="135"/>
      <c r="F12" s="135"/>
      <c r="G12" s="135"/>
      <c r="H12" s="135"/>
      <c r="I12" s="136">
        <f>ROUND('Stavební rozpočet'!I12,2)</f>
      </c>
      <c r="J12" s="136">
        <f>ROUND('Stavební rozpočet'!J12,2)</f>
      </c>
      <c r="K12" s="136">
        <f>ROUND('Stavební rozpočet'!K12,2)</f>
      </c>
      <c r="L12" s="137">
        <f>'Stavební rozpočet'!N12</f>
      </c>
      <c r="M12" s="138" t="s">
        <v>630</v>
      </c>
      <c r="N12" s="62">
        <f>IF(M12="F",0,K12)</f>
      </c>
      <c r="O12" s="11" t="s">
        <v>55</v>
      </c>
      <c r="P12" s="62">
        <f>IF(M12="T",0,K12)</f>
      </c>
    </row>
    <row r="13">
      <c r="A13" s="139" t="s">
        <v>583</v>
      </c>
      <c r="B13" s="140" t="s">
        <v>584</v>
      </c>
      <c r="C13" s="140"/>
      <c r="D13" s="140"/>
      <c r="E13" s="140"/>
      <c r="F13" s="140"/>
      <c r="G13" s="140"/>
      <c r="H13" s="140"/>
      <c r="I13" s="141">
        <f>ROUND('Stavební rozpočet'!I271,2)</f>
      </c>
      <c r="J13" s="141">
        <f>ROUND('Stavební rozpočet'!J271,2)</f>
      </c>
      <c r="K13" s="141">
        <f>ROUND('Stavební rozpočet'!K271,2)</f>
      </c>
      <c r="L13" s="142">
        <f>'Stavební rozpočet'!N271</f>
      </c>
      <c r="M13" s="138" t="s">
        <v>630</v>
      </c>
      <c r="N13" s="62">
        <f>IF(M13="F",0,K13)</f>
      </c>
      <c r="O13" s="11" t="s">
        <v>583</v>
      </c>
      <c r="P13" s="62">
        <f>IF(M13="T",0,K13)</f>
      </c>
    </row>
    <row r="14">
      <c r="I14" s="121" t="s">
        <v>626</v>
      </c>
      <c r="J14" s="121"/>
      <c r="K14" s="122">
        <f>ROUND(SUM(P12:P13),2)</f>
      </c>
    </row>
    <row r="15">
      <c r="A15" s="123" t="s">
        <v>71</v>
      </c>
    </row>
    <row r="16" customHeight="true" ht="13.5">
      <c r="A16" s="16" t="s">
        <v>627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CD50"/>
  <mergeCells>
    <mergeCell ref="A1:L1"/>
    <mergeCell ref="A2:C3"/>
    <mergeCell ref="A4:C5"/>
    <mergeCell ref="A6:C7"/>
    <mergeCell ref="A8:C9"/>
    <mergeCell ref="D2:F3"/>
    <mergeCell ref="D4:F5"/>
    <mergeCell ref="D6:F7"/>
    <mergeCell ref="D8:F9"/>
    <mergeCell ref="G2:G3"/>
    <mergeCell ref="G4:G5"/>
    <mergeCell ref="G6:G7"/>
    <mergeCell ref="G8:G9"/>
    <mergeCell ref="H2:H3"/>
    <mergeCell ref="H4:H5"/>
    <mergeCell ref="H6:H7"/>
    <mergeCell ref="H8:H9"/>
    <mergeCell ref="I2:I3"/>
    <mergeCell ref="I4:I5"/>
    <mergeCell ref="I6:I7"/>
    <mergeCell ref="I8:I9"/>
    <mergeCell ref="J2:L3"/>
    <mergeCell ref="J4:L5"/>
    <mergeCell ref="J6:L7"/>
    <mergeCell ref="J8:L9"/>
    <mergeCell ref="B10:H10"/>
    <mergeCell ref="B11:H11"/>
    <mergeCell ref="I10:K10"/>
    <mergeCell ref="B12:H12"/>
    <mergeCell ref="B13:H13"/>
    <mergeCell ref="I14:J14"/>
    <mergeCell ref="A16:L16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I37"/>
  <sheetViews>
    <sheetView workbookViewId="0" showZeros="true" showFormulas="false" showGridLines="true" showRowColHeaders="true">
      <selection sqref="A37:I37" activeCell="A37"/>
    </sheetView>
  </sheetViews>
  <sheetFormatPr defaultColWidth="12.140625" customHeight="true" defaultRowHeight="15"/>
  <cols>
    <col max="1" min="1" style="0" width="9.140625" customWidth="true"/>
    <col max="2" min="2" style="0" width="12.85546875" customWidth="true"/>
    <col max="3" min="3" style="0" width="27.140625" customWidth="true"/>
    <col max="4" min="4" style="0" width="10" customWidth="true"/>
    <col max="5" min="5" style="0" width="14" customWidth="true"/>
    <col max="6" min="6" style="0" width="27.140625" customWidth="true"/>
    <col max="7" min="7" style="0" width="9.140625" customWidth="true"/>
    <col max="8" min="8" style="0" width="12.85546875" customWidth="true"/>
    <col max="9" min="9" style="0" width="27.140625" customWidth="true"/>
  </cols>
  <sheetData>
    <row r="1" customHeight="true" ht="54.75">
      <c r="A1" s="143" t="s">
        <v>631</v>
      </c>
      <c r="B1" s="1"/>
      <c r="C1" s="1"/>
      <c r="D1" s="1"/>
      <c r="E1" s="1"/>
      <c r="F1" s="1"/>
      <c r="G1" s="1"/>
      <c r="H1" s="1"/>
      <c r="I1" s="1"/>
    </row>
    <row r="2">
      <c r="A2" s="3" t="s">
        <v>1</v>
      </c>
      <c r="B2" s="4"/>
      <c r="C2" s="5">
        <f>'Stavební rozpočet'!D2</f>
      </c>
      <c r="D2" s="6"/>
      <c r="E2" s="8" t="s">
        <v>5</v>
      </c>
      <c r="F2" s="8">
        <f>'Stavební rozpočet'!J2</f>
      </c>
      <c r="G2" s="4"/>
      <c r="H2" s="8" t="s">
        <v>632</v>
      </c>
      <c r="I2" s="9" t="s">
        <v>633</v>
      </c>
    </row>
    <row r="3" customHeight="true" ht="15">
      <c r="A3" s="10"/>
      <c r="B3" s="11"/>
      <c r="C3" s="12"/>
      <c r="D3" s="12"/>
      <c r="E3" s="11"/>
      <c r="F3" s="11"/>
      <c r="G3" s="11"/>
      <c r="H3" s="11"/>
      <c r="I3" s="14"/>
    </row>
    <row r="4">
      <c r="A4" s="15" t="s">
        <v>7</v>
      </c>
      <c r="B4" s="11"/>
      <c r="C4" s="16">
        <f>'Stavební rozpočet'!D4</f>
      </c>
      <c r="D4" s="11"/>
      <c r="E4" s="16" t="s">
        <v>9</v>
      </c>
      <c r="F4" s="16">
        <f>'Stavební rozpočet'!J4</f>
      </c>
      <c r="G4" s="11"/>
      <c r="H4" s="16" t="s">
        <v>632</v>
      </c>
      <c r="I4" s="14" t="s">
        <v>634</v>
      </c>
    </row>
    <row r="5" customHeight="true" ht="15">
      <c r="A5" s="10"/>
      <c r="B5" s="11"/>
      <c r="C5" s="11"/>
      <c r="D5" s="11"/>
      <c r="E5" s="11"/>
      <c r="F5" s="11"/>
      <c r="G5" s="11"/>
      <c r="H5" s="11"/>
      <c r="I5" s="14"/>
    </row>
    <row r="6">
      <c r="A6" s="15" t="s">
        <v>11</v>
      </c>
      <c r="B6" s="11"/>
      <c r="C6" s="16">
        <f>'Stavební rozpočet'!D6</f>
      </c>
      <c r="D6" s="11"/>
      <c r="E6" s="16" t="s">
        <v>14</v>
      </c>
      <c r="F6" s="16">
        <f>'Stavební rozpočet'!J6</f>
      </c>
      <c r="G6" s="11"/>
      <c r="H6" s="16" t="s">
        <v>632</v>
      </c>
      <c r="I6" s="14" t="s">
        <v>54</v>
      </c>
    </row>
    <row r="7" customHeight="true" ht="15">
      <c r="A7" s="10"/>
      <c r="B7" s="11"/>
      <c r="C7" s="11"/>
      <c r="D7" s="11"/>
      <c r="E7" s="11"/>
      <c r="F7" s="11"/>
      <c r="G7" s="11"/>
      <c r="H7" s="11"/>
      <c r="I7" s="14"/>
    </row>
    <row r="8">
      <c r="A8" s="15" t="s">
        <v>8</v>
      </c>
      <c r="B8" s="11"/>
      <c r="C8" s="16">
        <f>'Stavební rozpočet'!H4</f>
      </c>
      <c r="D8" s="11"/>
      <c r="E8" s="16" t="s">
        <v>13</v>
      </c>
      <c r="F8" s="16">
        <f>'Stavební rozpočet'!H6</f>
      </c>
      <c r="G8" s="11"/>
      <c r="H8" s="11" t="s">
        <v>635</v>
      </c>
      <c r="I8" s="144" t="n">
        <v>121</v>
      </c>
    </row>
    <row r="9">
      <c r="A9" s="10"/>
      <c r="B9" s="11"/>
      <c r="C9" s="11"/>
      <c r="D9" s="11"/>
      <c r="E9" s="11"/>
      <c r="F9" s="11"/>
      <c r="G9" s="11"/>
      <c r="H9" s="11"/>
      <c r="I9" s="14"/>
    </row>
    <row r="10">
      <c r="A10" s="15" t="s">
        <v>16</v>
      </c>
      <c r="B10" s="11"/>
      <c r="C10" s="16">
        <f>'Stavební rozpočet'!D8</f>
      </c>
      <c r="D10" s="11"/>
      <c r="E10" s="16" t="s">
        <v>19</v>
      </c>
      <c r="F10" s="16">
        <f>'Stavební rozpočet'!J8</f>
      </c>
      <c r="G10" s="11"/>
      <c r="H10" s="11" t="s">
        <v>636</v>
      </c>
      <c r="I10" s="145">
        <f>'Stavební rozpočet'!H8</f>
      </c>
    </row>
    <row r="11">
      <c r="A11" s="139"/>
      <c r="B11" s="140"/>
      <c r="C11" s="140"/>
      <c r="D11" s="140"/>
      <c r="E11" s="140"/>
      <c r="F11" s="140"/>
      <c r="G11" s="140"/>
      <c r="H11" s="140"/>
      <c r="I11" s="146"/>
    </row>
    <row r="12">
      <c r="A12" s="147" t="s">
        <v>637</v>
      </c>
      <c r="B12" s="147"/>
      <c r="C12" s="147"/>
      <c r="D12" s="147"/>
      <c r="E12" s="147"/>
      <c r="F12" s="147"/>
      <c r="G12" s="147"/>
      <c r="H12" s="147"/>
      <c r="I12" s="147"/>
    </row>
    <row r="13" customHeight="true" ht="26.25">
      <c r="A13" s="148" t="s">
        <v>638</v>
      </c>
      <c r="B13" s="149" t="s">
        <v>639</v>
      </c>
      <c r="C13" s="150"/>
      <c r="D13" s="151" t="s">
        <v>640</v>
      </c>
      <c r="E13" s="149" t="s">
        <v>641</v>
      </c>
      <c r="F13" s="150"/>
      <c r="G13" s="151" t="s">
        <v>642</v>
      </c>
      <c r="H13" s="149" t="s">
        <v>643</v>
      </c>
      <c r="I13" s="150"/>
    </row>
    <row r="14">
      <c r="A14" s="152" t="s">
        <v>644</v>
      </c>
      <c r="B14" s="153" t="s">
        <v>645</v>
      </c>
      <c r="C14" s="154">
        <f>SUM('Stavební rozpočet'!AB12:AB588)</f>
      </c>
      <c r="D14" s="155" t="s">
        <v>646</v>
      </c>
      <c r="E14" s="156"/>
      <c r="F14" s="154">
        <f>VORN!I15</f>
      </c>
      <c r="G14" s="155" t="s">
        <v>647</v>
      </c>
      <c r="H14" s="156"/>
      <c r="I14" s="157">
        <f>VORN!I21</f>
      </c>
    </row>
    <row r="15">
      <c r="A15" s="158" t="s">
        <v>54</v>
      </c>
      <c r="B15" s="153" t="s">
        <v>37</v>
      </c>
      <c r="C15" s="154">
        <f>SUM('Stavební rozpočet'!AC12:AC588)</f>
      </c>
      <c r="D15" s="155" t="s">
        <v>648</v>
      </c>
      <c r="E15" s="156"/>
      <c r="F15" s="154">
        <f>VORN!I16</f>
      </c>
      <c r="G15" s="155" t="s">
        <v>649</v>
      </c>
      <c r="H15" s="156"/>
      <c r="I15" s="157">
        <f>VORN!I22</f>
      </c>
    </row>
    <row r="16">
      <c r="A16" s="152" t="s">
        <v>650</v>
      </c>
      <c r="B16" s="153" t="s">
        <v>645</v>
      </c>
      <c r="C16" s="154">
        <f>SUM('Stavební rozpočet'!AD12:AD588)</f>
      </c>
      <c r="D16" s="155" t="s">
        <v>651</v>
      </c>
      <c r="E16" s="156"/>
      <c r="F16" s="154">
        <f>VORN!I17</f>
      </c>
      <c r="G16" s="155" t="s">
        <v>652</v>
      </c>
      <c r="H16" s="156"/>
      <c r="I16" s="157">
        <f>VORN!I23</f>
      </c>
    </row>
    <row r="17">
      <c r="A17" s="158" t="s">
        <v>54</v>
      </c>
      <c r="B17" s="153" t="s">
        <v>37</v>
      </c>
      <c r="C17" s="154">
        <f>SUM('Stavební rozpočet'!AE12:AE588)</f>
      </c>
      <c r="D17" s="155" t="s">
        <v>54</v>
      </c>
      <c r="E17" s="156"/>
      <c r="F17" s="157" t="s">
        <v>54</v>
      </c>
      <c r="G17" s="155" t="s">
        <v>653</v>
      </c>
      <c r="H17" s="156"/>
      <c r="I17" s="157">
        <f>VORN!I24</f>
      </c>
    </row>
    <row r="18">
      <c r="A18" s="152" t="s">
        <v>654</v>
      </c>
      <c r="B18" s="153" t="s">
        <v>645</v>
      </c>
      <c r="C18" s="154">
        <f>SUM('Stavební rozpočet'!AF12:AF588)</f>
      </c>
      <c r="D18" s="155" t="s">
        <v>54</v>
      </c>
      <c r="E18" s="156"/>
      <c r="F18" s="157" t="s">
        <v>54</v>
      </c>
      <c r="G18" s="155" t="s">
        <v>655</v>
      </c>
      <c r="H18" s="156"/>
      <c r="I18" s="157">
        <f>VORN!I25</f>
      </c>
    </row>
    <row r="19">
      <c r="A19" s="158" t="s">
        <v>54</v>
      </c>
      <c r="B19" s="153" t="s">
        <v>37</v>
      </c>
      <c r="C19" s="154">
        <f>SUM('Stavební rozpočet'!AG12:AG588)</f>
      </c>
      <c r="D19" s="155" t="s">
        <v>54</v>
      </c>
      <c r="E19" s="156"/>
      <c r="F19" s="157" t="s">
        <v>54</v>
      </c>
      <c r="G19" s="155" t="s">
        <v>656</v>
      </c>
      <c r="H19" s="156"/>
      <c r="I19" s="157">
        <f>VORN!I26</f>
      </c>
    </row>
    <row r="20">
      <c r="A20" s="159" t="s">
        <v>540</v>
      </c>
      <c r="B20" s="160"/>
      <c r="C20" s="154">
        <f>SUM('Stavební rozpočet'!AH12:AH588)</f>
      </c>
      <c r="D20" s="155" t="s">
        <v>54</v>
      </c>
      <c r="E20" s="156"/>
      <c r="F20" s="157" t="s">
        <v>54</v>
      </c>
      <c r="G20" s="155" t="s">
        <v>54</v>
      </c>
      <c r="H20" s="156"/>
      <c r="I20" s="157" t="s">
        <v>54</v>
      </c>
    </row>
    <row r="21">
      <c r="A21" s="161" t="s">
        <v>657</v>
      </c>
      <c r="B21" s="162"/>
      <c r="C21" s="163">
        <f>SUM('Stavební rozpočet'!Z12:Z588)</f>
      </c>
      <c r="D21" s="164" t="s">
        <v>54</v>
      </c>
      <c r="E21" s="165"/>
      <c r="F21" s="166" t="s">
        <v>54</v>
      </c>
      <c r="G21" s="164" t="s">
        <v>54</v>
      </c>
      <c r="H21" s="165"/>
      <c r="I21" s="166" t="s">
        <v>54</v>
      </c>
    </row>
    <row r="22" customHeight="true" ht="16.5">
      <c r="A22" s="167" t="s">
        <v>658</v>
      </c>
      <c r="B22" s="168"/>
      <c r="C22" s="169">
        <f>ROUND(SUM(C14:C21),2)</f>
      </c>
      <c r="D22" s="170" t="s">
        <v>659</v>
      </c>
      <c r="E22" s="168"/>
      <c r="F22" s="169">
        <f>SUM(F14:F21)</f>
      </c>
      <c r="G22" s="170" t="s">
        <v>660</v>
      </c>
      <c r="H22" s="168"/>
      <c r="I22" s="169">
        <f>SUM(I14:I21)</f>
      </c>
    </row>
    <row r="23">
      <c r="D23" s="159" t="s">
        <v>661</v>
      </c>
      <c r="E23" s="160"/>
      <c r="F23" s="171" t="n">
        <v>0</v>
      </c>
      <c r="G23" s="172" t="s">
        <v>662</v>
      </c>
      <c r="H23" s="160"/>
      <c r="I23" s="154" t="n">
        <v>0</v>
      </c>
    </row>
    <row r="24">
      <c r="G24" s="159" t="s">
        <v>663</v>
      </c>
      <c r="H24" s="160"/>
      <c r="I24" s="163">
        <f>vorn_sum</f>
      </c>
    </row>
    <row r="25">
      <c r="G25" s="159" t="s">
        <v>664</v>
      </c>
      <c r="H25" s="160"/>
      <c r="I25" s="169" t="n">
        <v>0</v>
      </c>
    </row>
    <row r="27">
      <c r="A27" s="173" t="s">
        <v>665</v>
      </c>
      <c r="B27" s="174"/>
      <c r="C27" s="175">
        <f>ROUND(SUM('Stavební rozpočet'!AJ12:AJ588),2)</f>
      </c>
    </row>
    <row r="28">
      <c r="A28" s="176" t="s">
        <v>666</v>
      </c>
      <c r="B28" s="177"/>
      <c r="C28" s="178">
        <f>ROUND(SUM('Stavební rozpočet'!AK12:AK588),2)</f>
      </c>
      <c r="D28" s="179" t="s">
        <v>667</v>
      </c>
      <c r="E28" s="174"/>
      <c r="F28" s="175">
        <f>ROUND(C28*(12/100),2)</f>
      </c>
      <c r="G28" s="179" t="s">
        <v>668</v>
      </c>
      <c r="H28" s="174"/>
      <c r="I28" s="175">
        <f>ROUND(SUM(C27:C29),2)</f>
      </c>
    </row>
    <row r="29">
      <c r="A29" s="176" t="s">
        <v>669</v>
      </c>
      <c r="B29" s="177"/>
      <c r="C29" s="178">
        <f>ROUND(SUM('Stavební rozpočet'!AL12:AL588)+(F22+I22+F23+I23+I24+I25),2)</f>
      </c>
      <c r="D29" s="180" t="s">
        <v>670</v>
      </c>
      <c r="E29" s="177"/>
      <c r="F29" s="178">
        <f>ROUND(C29*(21/100),2)</f>
      </c>
      <c r="G29" s="180" t="s">
        <v>671</v>
      </c>
      <c r="H29" s="177"/>
      <c r="I29" s="178">
        <f>ROUND(SUM(F28:F29)+I28,2)</f>
      </c>
    </row>
    <row r="31">
      <c r="A31" s="181" t="s">
        <v>672</v>
      </c>
      <c r="B31" s="182"/>
      <c r="C31" s="183"/>
      <c r="D31" s="184" t="s">
        <v>673</v>
      </c>
      <c r="E31" s="182"/>
      <c r="F31" s="183"/>
      <c r="G31" s="184" t="s">
        <v>674</v>
      </c>
      <c r="H31" s="182"/>
      <c r="I31" s="183"/>
    </row>
    <row r="32">
      <c r="A32" s="185" t="s">
        <v>54</v>
      </c>
      <c r="B32" s="186"/>
      <c r="C32" s="187"/>
      <c r="D32" s="188" t="s">
        <v>54</v>
      </c>
      <c r="E32" s="186"/>
      <c r="F32" s="187"/>
      <c r="G32" s="188" t="s">
        <v>54</v>
      </c>
      <c r="H32" s="186"/>
      <c r="I32" s="187"/>
    </row>
    <row r="33">
      <c r="A33" s="185" t="s">
        <v>54</v>
      </c>
      <c r="B33" s="186"/>
      <c r="C33" s="187"/>
      <c r="D33" s="188" t="s">
        <v>54</v>
      </c>
      <c r="E33" s="186"/>
      <c r="F33" s="187"/>
      <c r="G33" s="188" t="s">
        <v>54</v>
      </c>
      <c r="H33" s="186"/>
      <c r="I33" s="187"/>
    </row>
    <row r="34">
      <c r="A34" s="185" t="s">
        <v>54</v>
      </c>
      <c r="B34" s="186"/>
      <c r="C34" s="187"/>
      <c r="D34" s="188" t="s">
        <v>54</v>
      </c>
      <c r="E34" s="186"/>
      <c r="F34" s="187"/>
      <c r="G34" s="188" t="s">
        <v>54</v>
      </c>
      <c r="H34" s="186"/>
      <c r="I34" s="187"/>
    </row>
    <row r="35">
      <c r="A35" s="189" t="s">
        <v>675</v>
      </c>
      <c r="B35" s="190"/>
      <c r="C35" s="191"/>
      <c r="D35" s="192" t="s">
        <v>675</v>
      </c>
      <c r="E35" s="190"/>
      <c r="F35" s="191"/>
      <c r="G35" s="192" t="s">
        <v>675</v>
      </c>
      <c r="H35" s="190"/>
      <c r="I35" s="191"/>
    </row>
    <row r="36">
      <c r="A36" s="193" t="s">
        <v>71</v>
      </c>
    </row>
    <row r="37" customHeight="true" ht="13.5">
      <c r="A37" s="16" t="s">
        <v>676</v>
      </c>
      <c r="B37" s="11"/>
      <c r="C37" s="11"/>
      <c r="D37" s="11"/>
      <c r="E37" s="11"/>
      <c r="F37" s="11"/>
      <c r="G37" s="11"/>
      <c r="H37" s="11"/>
      <c r="I37" s="11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CD50"/>
  <mergeCells>
    <mergeCell ref="A1:I1"/>
    <mergeCell ref="A2:B3"/>
    <mergeCell ref="A4:B5"/>
    <mergeCell ref="A6:B7"/>
    <mergeCell ref="A8:B9"/>
    <mergeCell ref="A10:B11"/>
    <mergeCell ref="E2:E3"/>
    <mergeCell ref="E4:E5"/>
    <mergeCell ref="E6:E7"/>
    <mergeCell ref="E8:E9"/>
    <mergeCell ref="E10:E11"/>
    <mergeCell ref="C2:D3"/>
    <mergeCell ref="C4:D5"/>
    <mergeCell ref="C6:D7"/>
    <mergeCell ref="C8:D9"/>
    <mergeCell ref="C10:D11"/>
    <mergeCell ref="F2:G3"/>
    <mergeCell ref="F4:G5"/>
    <mergeCell ref="F6:G7"/>
    <mergeCell ref="F8:G9"/>
    <mergeCell ref="F10:G11"/>
    <mergeCell ref="H2:H3"/>
    <mergeCell ref="H4:H5"/>
    <mergeCell ref="H6:H7"/>
    <mergeCell ref="H8:H9"/>
    <mergeCell ref="H10:H11"/>
    <mergeCell ref="I2:I3"/>
    <mergeCell ref="I4:I5"/>
    <mergeCell ref="I6:I7"/>
    <mergeCell ref="I8:I9"/>
    <mergeCell ref="I10:I11"/>
    <mergeCell ref="A12:I12"/>
    <mergeCell ref="B13:C13"/>
    <mergeCell ref="E13:F13"/>
    <mergeCell ref="H13:I13"/>
    <mergeCell ref="A20:B20"/>
    <mergeCell ref="A21:B21"/>
    <mergeCell ref="A22:B22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A27:B27"/>
    <mergeCell ref="A28:B28"/>
    <mergeCell ref="A29:B29"/>
    <mergeCell ref="D28:E28"/>
    <mergeCell ref="D29:E29"/>
    <mergeCell ref="G28:H28"/>
    <mergeCell ref="G29:H29"/>
    <mergeCell ref="A31:C31"/>
    <mergeCell ref="A32:C32"/>
    <mergeCell ref="A33:C33"/>
    <mergeCell ref="A34:C34"/>
    <mergeCell ref="A35:C35"/>
    <mergeCell ref="D31:F31"/>
    <mergeCell ref="D32:F32"/>
    <mergeCell ref="D33:F33"/>
    <mergeCell ref="D34:F34"/>
    <mergeCell ref="D35:F35"/>
    <mergeCell ref="G31:I31"/>
    <mergeCell ref="G32:I32"/>
    <mergeCell ref="G33:I33"/>
    <mergeCell ref="G34:I34"/>
    <mergeCell ref="G35:I35"/>
    <mergeCell ref="A37:I37"/>
  </mergeCells>
  <pageMargins left="0.393999993801117" top="0.591000020503998" right="0.393999993801117" bottom="0.591000020503998" header="0" footer="0"/>
  <pageSetup orientation="landscape" fitToHeight="1" fitToWidth="1" cellComments="none"/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I36"/>
  <sheetViews>
    <sheetView workbookViewId="0" showZeros="true" showFormulas="false" showGridLines="true" showRowColHeaders="true">
      <selection sqref="A36:E36" activeCell="A36"/>
    </sheetView>
  </sheetViews>
  <sheetFormatPr defaultColWidth="12.140625" customHeight="true" defaultRowHeight="15"/>
  <cols>
    <col max="1" min="1" style="0" width="9.140625" customWidth="true"/>
    <col max="2" min="2" style="0" width="12.85546875" customWidth="true"/>
    <col max="3" min="3" style="0" width="22.85546875" customWidth="true"/>
    <col max="4" min="4" style="0" width="10" customWidth="true"/>
    <col max="5" min="5" style="0" width="14" customWidth="true"/>
    <col max="6" min="6" style="0" width="22.85546875" customWidth="true"/>
    <col max="7" min="7" style="0" width="9.140625" customWidth="true"/>
    <col max="8" min="8" style="0" width="17.140625" customWidth="true"/>
    <col max="9" min="9" style="0" width="22.85546875" customWidth="true"/>
  </cols>
  <sheetData>
    <row r="1" customHeight="true" ht="54.75">
      <c r="A1" s="143" t="s">
        <v>677</v>
      </c>
      <c r="B1" s="1"/>
      <c r="C1" s="1"/>
      <c r="D1" s="1"/>
      <c r="E1" s="1"/>
      <c r="F1" s="1"/>
      <c r="G1" s="1"/>
      <c r="H1" s="1"/>
      <c r="I1" s="1"/>
    </row>
    <row r="2">
      <c r="A2" s="3" t="s">
        <v>1</v>
      </c>
      <c r="B2" s="4"/>
      <c r="C2" s="5">
        <f>'Stavební rozpočet'!D2</f>
      </c>
      <c r="D2" s="6"/>
      <c r="E2" s="8" t="s">
        <v>5</v>
      </c>
      <c r="F2" s="8">
        <f>'Stavební rozpočet'!J2</f>
      </c>
      <c r="G2" s="4"/>
      <c r="H2" s="8" t="s">
        <v>632</v>
      </c>
      <c r="I2" s="9" t="s">
        <v>633</v>
      </c>
    </row>
    <row r="3" customHeight="true" ht="15">
      <c r="A3" s="10"/>
      <c r="B3" s="11"/>
      <c r="C3" s="12"/>
      <c r="D3" s="12"/>
      <c r="E3" s="11"/>
      <c r="F3" s="11"/>
      <c r="G3" s="11"/>
      <c r="H3" s="11"/>
      <c r="I3" s="14"/>
    </row>
    <row r="4">
      <c r="A4" s="15" t="s">
        <v>7</v>
      </c>
      <c r="B4" s="11"/>
      <c r="C4" s="16">
        <f>'Stavební rozpočet'!D4</f>
      </c>
      <c r="D4" s="11"/>
      <c r="E4" s="16" t="s">
        <v>9</v>
      </c>
      <c r="F4" s="16">
        <f>'Stavební rozpočet'!J4</f>
      </c>
      <c r="G4" s="11"/>
      <c r="H4" s="16" t="s">
        <v>632</v>
      </c>
      <c r="I4" s="14" t="s">
        <v>634</v>
      </c>
    </row>
    <row r="5" customHeight="true" ht="15">
      <c r="A5" s="10"/>
      <c r="B5" s="11"/>
      <c r="C5" s="11"/>
      <c r="D5" s="11"/>
      <c r="E5" s="11"/>
      <c r="F5" s="11"/>
      <c r="G5" s="11"/>
      <c r="H5" s="11"/>
      <c r="I5" s="14"/>
    </row>
    <row r="6">
      <c r="A6" s="15" t="s">
        <v>11</v>
      </c>
      <c r="B6" s="11"/>
      <c r="C6" s="16">
        <f>'Stavební rozpočet'!D6</f>
      </c>
      <c r="D6" s="11"/>
      <c r="E6" s="16" t="s">
        <v>14</v>
      </c>
      <c r="F6" s="16">
        <f>'Stavební rozpočet'!J6</f>
      </c>
      <c r="G6" s="11"/>
      <c r="H6" s="16" t="s">
        <v>632</v>
      </c>
      <c r="I6" s="14" t="s">
        <v>54</v>
      </c>
    </row>
    <row r="7" customHeight="true" ht="15">
      <c r="A7" s="10"/>
      <c r="B7" s="11"/>
      <c r="C7" s="11"/>
      <c r="D7" s="11"/>
      <c r="E7" s="11"/>
      <c r="F7" s="11"/>
      <c r="G7" s="11"/>
      <c r="H7" s="11"/>
      <c r="I7" s="14"/>
    </row>
    <row r="8">
      <c r="A8" s="15" t="s">
        <v>8</v>
      </c>
      <c r="B8" s="11"/>
      <c r="C8" s="16">
        <f>'Stavební rozpočet'!H4</f>
      </c>
      <c r="D8" s="11"/>
      <c r="E8" s="16" t="s">
        <v>13</v>
      </c>
      <c r="F8" s="16">
        <f>'Stavební rozpočet'!H6</f>
      </c>
      <c r="G8" s="11"/>
      <c r="H8" s="11" t="s">
        <v>635</v>
      </c>
      <c r="I8" s="144" t="n">
        <v>121</v>
      </c>
    </row>
    <row r="9">
      <c r="A9" s="10"/>
      <c r="B9" s="11"/>
      <c r="C9" s="11"/>
      <c r="D9" s="11"/>
      <c r="E9" s="11"/>
      <c r="F9" s="11"/>
      <c r="G9" s="11"/>
      <c r="H9" s="11"/>
      <c r="I9" s="14"/>
    </row>
    <row r="10">
      <c r="A10" s="15" t="s">
        <v>16</v>
      </c>
      <c r="B10" s="11"/>
      <c r="C10" s="16">
        <f>'Stavební rozpočet'!D8</f>
      </c>
      <c r="D10" s="11"/>
      <c r="E10" s="16" t="s">
        <v>19</v>
      </c>
      <c r="F10" s="16">
        <f>'Stavební rozpočet'!J8</f>
      </c>
      <c r="G10" s="11"/>
      <c r="H10" s="11" t="s">
        <v>636</v>
      </c>
      <c r="I10" s="145">
        <f>'Stavební rozpočet'!H8</f>
      </c>
    </row>
    <row r="11">
      <c r="A11" s="139"/>
      <c r="B11" s="140"/>
      <c r="C11" s="140"/>
      <c r="D11" s="140"/>
      <c r="E11" s="140"/>
      <c r="F11" s="140"/>
      <c r="G11" s="140"/>
      <c r="H11" s="140"/>
      <c r="I11" s="146"/>
    </row>
    <row r="13">
      <c r="A13" s="194" t="s">
        <v>678</v>
      </c>
      <c r="B13" s="194"/>
      <c r="C13" s="194"/>
      <c r="D13" s="194"/>
      <c r="E13" s="194"/>
    </row>
    <row r="14">
      <c r="A14" s="195" t="s">
        <v>679</v>
      </c>
      <c r="B14" s="196"/>
      <c r="C14" s="196"/>
      <c r="D14" s="196"/>
      <c r="E14" s="197"/>
      <c r="F14" s="198" t="s">
        <v>680</v>
      </c>
      <c r="G14" s="198" t="s">
        <v>681</v>
      </c>
      <c r="H14" s="198" t="s">
        <v>682</v>
      </c>
      <c r="I14" s="198" t="s">
        <v>680</v>
      </c>
    </row>
    <row r="15">
      <c r="A15" s="199" t="s">
        <v>646</v>
      </c>
      <c r="B15" s="200"/>
      <c r="C15" s="200"/>
      <c r="D15" s="200"/>
      <c r="E15" s="201"/>
      <c r="F15" s="202" t="n">
        <v>0</v>
      </c>
      <c r="G15" s="203" t="s">
        <v>54</v>
      </c>
      <c r="H15" s="203" t="s">
        <v>54</v>
      </c>
      <c r="I15" s="202">
        <f>F15</f>
      </c>
    </row>
    <row r="16">
      <c r="A16" s="199" t="s">
        <v>648</v>
      </c>
      <c r="B16" s="200"/>
      <c r="C16" s="200"/>
      <c r="D16" s="200"/>
      <c r="E16" s="201"/>
      <c r="F16" s="202" t="n">
        <v>0</v>
      </c>
      <c r="G16" s="203" t="s">
        <v>54</v>
      </c>
      <c r="H16" s="203" t="s">
        <v>54</v>
      </c>
      <c r="I16" s="202">
        <f>F16</f>
      </c>
    </row>
    <row r="17">
      <c r="A17" s="204" t="s">
        <v>651</v>
      </c>
      <c r="B17" s="205"/>
      <c r="C17" s="205"/>
      <c r="D17" s="205"/>
      <c r="E17" s="206"/>
      <c r="F17" s="207" t="n">
        <v>0</v>
      </c>
      <c r="G17" s="208" t="s">
        <v>54</v>
      </c>
      <c r="H17" s="208" t="s">
        <v>54</v>
      </c>
      <c r="I17" s="207">
        <f>F17</f>
      </c>
    </row>
    <row r="18">
      <c r="A18" s="209" t="s">
        <v>683</v>
      </c>
      <c r="B18" s="210"/>
      <c r="C18" s="210"/>
      <c r="D18" s="210"/>
      <c r="E18" s="211"/>
      <c r="F18" s="212" t="s">
        <v>54</v>
      </c>
      <c r="G18" s="213" t="s">
        <v>54</v>
      </c>
      <c r="H18" s="213" t="s">
        <v>54</v>
      </c>
      <c r="I18" s="214">
        <f>SUM(I15:I17)</f>
      </c>
    </row>
    <row r="20">
      <c r="A20" s="195" t="s">
        <v>643</v>
      </c>
      <c r="B20" s="196"/>
      <c r="C20" s="196"/>
      <c r="D20" s="196"/>
      <c r="E20" s="197"/>
      <c r="F20" s="198" t="s">
        <v>680</v>
      </c>
      <c r="G20" s="198" t="s">
        <v>681</v>
      </c>
      <c r="H20" s="198" t="s">
        <v>682</v>
      </c>
      <c r="I20" s="198" t="s">
        <v>680</v>
      </c>
    </row>
    <row r="21">
      <c r="A21" s="199" t="s">
        <v>647</v>
      </c>
      <c r="B21" s="200"/>
      <c r="C21" s="200"/>
      <c r="D21" s="200"/>
      <c r="E21" s="201"/>
      <c r="F21" s="202" t="n">
        <v>0</v>
      </c>
      <c r="G21" s="203" t="s">
        <v>54</v>
      </c>
      <c r="H21" s="203" t="s">
        <v>54</v>
      </c>
      <c r="I21" s="202">
        <f>F21</f>
      </c>
    </row>
    <row r="22">
      <c r="A22" s="199" t="s">
        <v>649</v>
      </c>
      <c r="B22" s="200"/>
      <c r="C22" s="200"/>
      <c r="D22" s="200"/>
      <c r="E22" s="201"/>
      <c r="F22" s="202" t="n">
        <v>0</v>
      </c>
      <c r="G22" s="203" t="s">
        <v>54</v>
      </c>
      <c r="H22" s="203" t="s">
        <v>54</v>
      </c>
      <c r="I22" s="202">
        <f>F22</f>
      </c>
    </row>
    <row r="23">
      <c r="A23" s="199" t="s">
        <v>652</v>
      </c>
      <c r="B23" s="200"/>
      <c r="C23" s="200"/>
      <c r="D23" s="200"/>
      <c r="E23" s="201"/>
      <c r="F23" s="202" t="n">
        <v>0</v>
      </c>
      <c r="G23" s="203" t="s">
        <v>54</v>
      </c>
      <c r="H23" s="203" t="s">
        <v>54</v>
      </c>
      <c r="I23" s="202">
        <f>F23</f>
      </c>
    </row>
    <row r="24">
      <c r="A24" s="199" t="s">
        <v>653</v>
      </c>
      <c r="B24" s="200"/>
      <c r="C24" s="200"/>
      <c r="D24" s="200"/>
      <c r="E24" s="201"/>
      <c r="F24" s="202" t="n">
        <v>0</v>
      </c>
      <c r="G24" s="203" t="s">
        <v>54</v>
      </c>
      <c r="H24" s="203" t="s">
        <v>54</v>
      </c>
      <c r="I24" s="202">
        <f>F24</f>
      </c>
    </row>
    <row r="25">
      <c r="A25" s="199" t="s">
        <v>655</v>
      </c>
      <c r="B25" s="200"/>
      <c r="C25" s="200"/>
      <c r="D25" s="200"/>
      <c r="E25" s="201"/>
      <c r="F25" s="202" t="n">
        <v>0</v>
      </c>
      <c r="G25" s="203" t="s">
        <v>54</v>
      </c>
      <c r="H25" s="203" t="s">
        <v>54</v>
      </c>
      <c r="I25" s="202">
        <f>F25</f>
      </c>
    </row>
    <row r="26">
      <c r="A26" s="204" t="s">
        <v>656</v>
      </c>
      <c r="B26" s="205"/>
      <c r="C26" s="205"/>
      <c r="D26" s="205"/>
      <c r="E26" s="206"/>
      <c r="F26" s="207" t="n">
        <v>0</v>
      </c>
      <c r="G26" s="208" t="s">
        <v>54</v>
      </c>
      <c r="H26" s="208" t="s">
        <v>54</v>
      </c>
      <c r="I26" s="207">
        <f>F26</f>
      </c>
    </row>
    <row r="27">
      <c r="A27" s="209" t="s">
        <v>684</v>
      </c>
      <c r="B27" s="210"/>
      <c r="C27" s="210"/>
      <c r="D27" s="210"/>
      <c r="E27" s="211"/>
      <c r="F27" s="212" t="s">
        <v>54</v>
      </c>
      <c r="G27" s="213" t="s">
        <v>54</v>
      </c>
      <c r="H27" s="213" t="s">
        <v>54</v>
      </c>
      <c r="I27" s="214">
        <f>SUM(I21:I26)</f>
      </c>
    </row>
    <row r="29">
      <c r="A29" s="215" t="s">
        <v>685</v>
      </c>
      <c r="B29" s="216"/>
      <c r="C29" s="216"/>
      <c r="D29" s="216"/>
      <c r="E29" s="217"/>
      <c r="F29" s="218">
        <f>I18+I27</f>
      </c>
      <c r="G29" s="219"/>
      <c r="H29" s="219"/>
      <c r="I29" s="220"/>
    </row>
    <row r="33">
      <c r="A33" s="194" t="s">
        <v>686</v>
      </c>
      <c r="B33" s="194"/>
      <c r="C33" s="194"/>
      <c r="D33" s="194"/>
      <c r="E33" s="194"/>
    </row>
    <row r="34">
      <c r="A34" s="195" t="s">
        <v>687</v>
      </c>
      <c r="B34" s="196"/>
      <c r="C34" s="196"/>
      <c r="D34" s="196"/>
      <c r="E34" s="197"/>
      <c r="F34" s="198" t="s">
        <v>680</v>
      </c>
      <c r="G34" s="198" t="s">
        <v>681</v>
      </c>
      <c r="H34" s="198" t="s">
        <v>682</v>
      </c>
      <c r="I34" s="198" t="s">
        <v>680</v>
      </c>
    </row>
    <row r="35">
      <c r="A35" s="204" t="s">
        <v>54</v>
      </c>
      <c r="B35" s="205"/>
      <c r="C35" s="205"/>
      <c r="D35" s="205"/>
      <c r="E35" s="206"/>
      <c r="F35" s="207" t="n">
        <v>0</v>
      </c>
      <c r="G35" s="208" t="s">
        <v>54</v>
      </c>
      <c r="H35" s="208" t="s">
        <v>54</v>
      </c>
      <c r="I35" s="207">
        <f>F35</f>
      </c>
    </row>
    <row r="36">
      <c r="A36" s="209" t="s">
        <v>688</v>
      </c>
      <c r="B36" s="210"/>
      <c r="C36" s="210"/>
      <c r="D36" s="210"/>
      <c r="E36" s="211"/>
      <c r="F36" s="212" t="s">
        <v>54</v>
      </c>
      <c r="G36" s="213" t="s">
        <v>54</v>
      </c>
      <c r="H36" s="213" t="s">
        <v>54</v>
      </c>
      <c r="I36" s="214">
        <f>SUM(I35:I35)</f>
      </c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CD50"/>
  <mergeCells>
    <mergeCell ref="A1:I1"/>
    <mergeCell ref="A2:B3"/>
    <mergeCell ref="A4:B5"/>
    <mergeCell ref="A6:B7"/>
    <mergeCell ref="A8:B9"/>
    <mergeCell ref="A10:B11"/>
    <mergeCell ref="E2:E3"/>
    <mergeCell ref="E4:E5"/>
    <mergeCell ref="E6:E7"/>
    <mergeCell ref="E8:E9"/>
    <mergeCell ref="E10:E11"/>
    <mergeCell ref="H2:H3"/>
    <mergeCell ref="H4:H5"/>
    <mergeCell ref="H6:H7"/>
    <mergeCell ref="H8:H9"/>
    <mergeCell ref="H10:H11"/>
    <mergeCell ref="C2:D3"/>
    <mergeCell ref="C4:D5"/>
    <mergeCell ref="C6:D7"/>
    <mergeCell ref="C8:D9"/>
    <mergeCell ref="C10:D11"/>
    <mergeCell ref="F2:G3"/>
    <mergeCell ref="F4:G5"/>
    <mergeCell ref="F6:G7"/>
    <mergeCell ref="F8:G9"/>
    <mergeCell ref="F10:G11"/>
    <mergeCell ref="I2:I3"/>
    <mergeCell ref="I4:I5"/>
    <mergeCell ref="I6:I7"/>
    <mergeCell ref="I8:I9"/>
    <mergeCell ref="I10:I11"/>
    <mergeCell ref="A13:E13"/>
    <mergeCell ref="A14:E14"/>
    <mergeCell ref="A15:E15"/>
    <mergeCell ref="A16:E16"/>
    <mergeCell ref="A17:E17"/>
    <mergeCell ref="A18:E18"/>
    <mergeCell ref="A20:E20"/>
    <mergeCell ref="A21:E21"/>
    <mergeCell ref="A22:E22"/>
    <mergeCell ref="A23:E23"/>
    <mergeCell ref="A24:E24"/>
    <mergeCell ref="A25:E25"/>
    <mergeCell ref="A26:E26"/>
    <mergeCell ref="A27:E27"/>
    <mergeCell ref="A29:E29"/>
    <mergeCell ref="F29:I29"/>
    <mergeCell ref="A33:E33"/>
    <mergeCell ref="A34:E34"/>
    <mergeCell ref="A35:E35"/>
    <mergeCell ref="A36:E36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>HP</dc:creator>
  <cp:lastModifiedBy>HP</cp:lastModifiedBy>
  <dcterms:created xsi:type="dcterms:W3CDTF">2021-06-10T20:06:38.031Z</dcterms:created>
  <dcterms:modified xsi:type="dcterms:W3CDTF">2021-06-10T20:06:38.351Z</dcterms:modified>
</cp:coreProperties>
</file>