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Stavební rozpočet" sheetId="1" r:id="rId1"/>
    <sheet name="Rozpočet - Jen objekty celkem" sheetId="2" r:id="rId2"/>
    <sheet name="Krycí list rozpočtu" sheetId="3" r:id="rId3"/>
    <sheet name="VORN" sheetId="4" state="hidden" r:id="rId4"/>
  </sheets>
  <definedNames>
    <definedName name="vorn_sum">VORN!$I$36</definedName>
  </definedNames>
  <calcPr refMode="A1"/>
</workbook>
</file>

<file path=xl/sharedStrings.xml><?xml version="1.0" encoding="utf-8"?>
<sst xmlns="http://schemas.openxmlformats.org/spreadsheetml/2006/main" count="675" uniqueCount="675">
  <si>
    <t>Soupis prací</t>
  </si>
  <si>
    <t>Název stavby:</t>
  </si>
  <si>
    <t>Rekonstrukce, úpravy a rozš. stáv. zpev. i nezpev. ploch k parkování - část ul. Vrchlického</t>
  </si>
  <si>
    <t>Doba výstavby:</t>
  </si>
  <si>
    <t xml:space="preserve"> </t>
  </si>
  <si>
    <t>Objednatel:</t>
  </si>
  <si>
    <t>Statutární město Jihlava</t>
  </si>
  <si>
    <t>Druh stavby:</t>
  </si>
  <si>
    <t>Začátek výstavby:</t>
  </si>
  <si>
    <t>Projektant:</t>
  </si>
  <si>
    <t> </t>
  </si>
  <si>
    <t>Lokalita:</t>
  </si>
  <si>
    <t>Jihlava</t>
  </si>
  <si>
    <t>Konec výstavby:</t>
  </si>
  <si>
    <t>Zhotovitel:</t>
  </si>
  <si>
    <t>dle výběrového řízení</t>
  </si>
  <si>
    <t>JKSO:</t>
  </si>
  <si>
    <t>Zpracováno dne:</t>
  </si>
  <si>
    <t>13.12.2024</t>
  </si>
  <si>
    <t>Zpracoval:</t>
  </si>
  <si>
    <t>Ing. Petr Kristýnek</t>
  </si>
  <si>
    <t>Č</t>
  </si>
  <si>
    <t>Objekt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</si>
  <si>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</si>
  <si>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</si>
  <si>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</si>
  <si>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</si>
  <si>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</si>
  <si>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</si>
  <si>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</si>
  <si>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</si>
  <si>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</si>
  <si>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</si>
  <si>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</si>
  <si>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</si>
  <si>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</si>
  <si>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</si>
  <si>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</si>
  <si>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</si>
  <si>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</si>
  <si>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</si>
  <si>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</si>
  <si>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</si>
  <si>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</si>
  <si>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</si>
  <si>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</si>
  <si>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</si>
  <si>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</si>
  <si>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</si>
  <si>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</si>
  <si>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</si>
  <si>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</si>
  <si>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 101</t>
  </si>
  <si>
    <t>Oprava parkoviště za BD Vrchlického 55</t>
  </si>
  <si>
    <t>11</t>
  </si>
  <si>
    <t>Přípravné a přidružené práce</t>
  </si>
  <si>
    <t>1</t>
  </si>
  <si>
    <t>113107630R00</t>
  </si>
  <si>
    <t>Odstranění štěrk. krytu nad 50 m2,kam.drcené tl.30 cm</t>
  </si>
  <si>
    <t>m2</t>
  </si>
  <si>
    <t>RTS II / 2024</t>
  </si>
  <si>
    <t>11_</t>
  </si>
  <si>
    <t>SO 101_1_</t>
  </si>
  <si>
    <t>SO 101_</t>
  </si>
  <si>
    <t>171,0+49,0</t>
  </si>
  <si>
    <t>2</t>
  </si>
  <si>
    <t>113202111R00</t>
  </si>
  <si>
    <t>Vytrhání obrub obrubníků silničních</t>
  </si>
  <si>
    <t>m</t>
  </si>
  <si>
    <t>Varianta:</t>
  </si>
  <si>
    <t>betonové obrubníky</t>
  </si>
  <si>
    <t>23,0+5,0</t>
  </si>
  <si>
    <t>12</t>
  </si>
  <si>
    <t>Odkopávky a prokopávky</t>
  </si>
  <si>
    <t>3</t>
  </si>
  <si>
    <t>121101100R00</t>
  </si>
  <si>
    <t>Sejmutí ornice, pl. do 400 m2, přemístění do 50 m</t>
  </si>
  <si>
    <t>m3</t>
  </si>
  <si>
    <t>12_</t>
  </si>
  <si>
    <t>30,0*0,15</t>
  </si>
  <si>
    <t>16</t>
  </si>
  <si>
    <t>Přemístění výkopku</t>
  </si>
  <si>
    <t>4</t>
  </si>
  <si>
    <t>162701105R00</t>
  </si>
  <si>
    <t>Vodorovné přemístění výkopku z hor.1-4 do 10000 m</t>
  </si>
  <si>
    <t>16_</t>
  </si>
  <si>
    <t>50*0,15*2</t>
  </si>
  <si>
    <t>Poznámka:</t>
  </si>
  <si>
    <t>dovoz kvalitní zeminy pro rekultivaci a ornice ze skládky investora - do 15 km</t>
  </si>
  <si>
    <t>5</t>
  </si>
  <si>
    <t>162701109R00</t>
  </si>
  <si>
    <t>Příplatek k vod. přemístění hor.1-4 za další 1 km</t>
  </si>
  <si>
    <t>15,0*5</t>
  </si>
  <si>
    <t>6</t>
  </si>
  <si>
    <t>167103101R00</t>
  </si>
  <si>
    <t>Nakládání výkopku zeminy schopné zúrodnění</t>
  </si>
  <si>
    <t>7,5+7,5</t>
  </si>
  <si>
    <t>17</t>
  </si>
  <si>
    <t>Konstrukce ze zemin</t>
  </si>
  <si>
    <t>7</t>
  </si>
  <si>
    <t>171201101R00</t>
  </si>
  <si>
    <t>Uložení sypaniny do násypů nezhutněných</t>
  </si>
  <si>
    <t>17_</t>
  </si>
  <si>
    <t>rekultivace plochy</t>
  </si>
  <si>
    <t>50*0,15</t>
  </si>
  <si>
    <t>uložení zeminy pro rekultivaci zelené plochy</t>
  </si>
  <si>
    <t>8</t>
  </si>
  <si>
    <t>174101102R00</t>
  </si>
  <si>
    <t>Zásyp ruční se zhutněním</t>
  </si>
  <si>
    <t>zásyp kolem nových obrubníků</t>
  </si>
  <si>
    <t>18,0*0,3*0,3</t>
  </si>
  <si>
    <t>18</t>
  </si>
  <si>
    <t>Povrchové úpravy terénu</t>
  </si>
  <si>
    <t>9</t>
  </si>
  <si>
    <t>180402111R00</t>
  </si>
  <si>
    <t>Založení trávníku parkového výsevem v rovině</t>
  </si>
  <si>
    <t>18_</t>
  </si>
  <si>
    <t>10</t>
  </si>
  <si>
    <t>181006113R00</t>
  </si>
  <si>
    <t>Rozprostření zemin v rov./sklonu 1:5, tl. do 20 cm</t>
  </si>
  <si>
    <t>181101102R00</t>
  </si>
  <si>
    <t>Úprava pláně v zářezech v hor. 1-4, se zhutněním</t>
  </si>
  <si>
    <t>171,0*1,05</t>
  </si>
  <si>
    <t>181301102R00</t>
  </si>
  <si>
    <t>Rozprostření ornice, rovina, tl. 10-15 cm,do 500m2</t>
  </si>
  <si>
    <t>15,0+50,0</t>
  </si>
  <si>
    <t>56</t>
  </si>
  <si>
    <t>Podkladní vrstvy komunikací a zpevněných ploch</t>
  </si>
  <si>
    <t>13</t>
  </si>
  <si>
    <t>564721111R00</t>
  </si>
  <si>
    <t>Podklad z kameniva drceného vel.16-32 mm,tl. 8 cm</t>
  </si>
  <si>
    <t>56_</t>
  </si>
  <si>
    <t>SO 101_5_</t>
  </si>
  <si>
    <t>podklad lože pod siln. a chod. obrubníky</t>
  </si>
  <si>
    <t>18,0*0,5</t>
  </si>
  <si>
    <t>14</t>
  </si>
  <si>
    <t>564851111RT4</t>
  </si>
  <si>
    <t>Podklad ze štěrkodrti po zhutnění tloušťky 15 cm</t>
  </si>
  <si>
    <t>štěrkodrť frakce 0-63 mm</t>
  </si>
  <si>
    <t>59</t>
  </si>
  <si>
    <t>Kryty pozemních komunikací, letišť a ploch dlážděných (předlažby)</t>
  </si>
  <si>
    <t>15</t>
  </si>
  <si>
    <t>596215040R00</t>
  </si>
  <si>
    <t>Kladení zámkové dlažby tl. 8 cm do drtě tl. 4 cm</t>
  </si>
  <si>
    <t>59_</t>
  </si>
  <si>
    <t>vegetační dlažba</t>
  </si>
  <si>
    <t>596291113R00</t>
  </si>
  <si>
    <t>Řezání zámkové dlažby tl. 80 mm</t>
  </si>
  <si>
    <t>596921191R00</t>
  </si>
  <si>
    <t>Příplatek za výplň otvorů vegetačních tvárnic betonových, bez dodávky výplňového materiálu</t>
  </si>
  <si>
    <t>171,0*0,023</t>
  </si>
  <si>
    <t>91</t>
  </si>
  <si>
    <t>Doplňující konstrukce a práce na pozemních komunikacích a zpevněných plochách</t>
  </si>
  <si>
    <t>917862111R00</t>
  </si>
  <si>
    <t>Osazení stojatého obrubníku betonového, s boční opěrou, do lože z betonu C 16/20 Nxf1</t>
  </si>
  <si>
    <t>91_</t>
  </si>
  <si>
    <t>SO 101_9_</t>
  </si>
  <si>
    <t>13,0+5,0</t>
  </si>
  <si>
    <t xml:space="preserve">u zelené plochy střídání výšky obrubníků  pro odvod vody
započtena rezerva 5 ks bet. obrubníků 1000/150/250 mm pro případnou výměnu poškozených obrub</t>
  </si>
  <si>
    <t>H22</t>
  </si>
  <si>
    <t>Komunikace pozemní a letiště</t>
  </si>
  <si>
    <t>19</t>
  </si>
  <si>
    <t>998223011R00</t>
  </si>
  <si>
    <t>Přesun hmot, pozemní komunikace, kryt dlážděný</t>
  </si>
  <si>
    <t>t</t>
  </si>
  <si>
    <t>H22_</t>
  </si>
  <si>
    <t>280,2-152,8</t>
  </si>
  <si>
    <t>S</t>
  </si>
  <si>
    <t>Přesuny sutí</t>
  </si>
  <si>
    <t>20</t>
  </si>
  <si>
    <t>979081111R00</t>
  </si>
  <si>
    <t>Odvoz suti a vybour. hmot na skládku do 1 km</t>
  </si>
  <si>
    <t>S_</t>
  </si>
  <si>
    <t>21</t>
  </si>
  <si>
    <t>979081121R00</t>
  </si>
  <si>
    <t>Příplatek k odvozu za každý další 1 km</t>
  </si>
  <si>
    <t>152,8*9</t>
  </si>
  <si>
    <t>odvoz suti do 10 km - k recyklaci</t>
  </si>
  <si>
    <t>22</t>
  </si>
  <si>
    <t>979084214R00</t>
  </si>
  <si>
    <t>Vodorovná doprava hmot po suchu do 2 km</t>
  </si>
  <si>
    <t>180,0*0,148</t>
  </si>
  <si>
    <t>doprava vegetační dlažby ze skládky Pístov u Jihlavy</t>
  </si>
  <si>
    <t>23</t>
  </si>
  <si>
    <t>979086112R00</t>
  </si>
  <si>
    <t>Nakládání  hmot na dopravní prostředek</t>
  </si>
  <si>
    <t>24</t>
  </si>
  <si>
    <t>979999999R00</t>
  </si>
  <si>
    <t>Poplatek za recyklaci suti - beton, štěrk</t>
  </si>
  <si>
    <t>uložení suti na recyklační skládce dle zákona</t>
  </si>
  <si>
    <t>M</t>
  </si>
  <si>
    <t>Ostatní materiál</t>
  </si>
  <si>
    <t>25</t>
  </si>
  <si>
    <t>00572420</t>
  </si>
  <si>
    <t>Směs travní parková III. dekorativní PROFI</t>
  </si>
  <si>
    <t>kg</t>
  </si>
  <si>
    <t>0</t>
  </si>
  <si>
    <t>Z99999_</t>
  </si>
  <si>
    <t>SO 101_Z_</t>
  </si>
  <si>
    <t>65,0*0,03</t>
  </si>
  <si>
    <t>26</t>
  </si>
  <si>
    <t>583424402</t>
  </si>
  <si>
    <t>Kamenivo drcené 2/4 - výplň spár dlažby</t>
  </si>
  <si>
    <t>4,0*2,3</t>
  </si>
  <si>
    <t>27</t>
  </si>
  <si>
    <t>59217421</t>
  </si>
  <si>
    <t>Obrubník chodníkový ABO 14-10 v. 250 x 100 x 1000 mm přírodní</t>
  </si>
  <si>
    <t>kus</t>
  </si>
  <si>
    <t>13,0</t>
  </si>
  <si>
    <t>;ztratné 2%; 0,26</t>
  </si>
  <si>
    <t>28</t>
  </si>
  <si>
    <t>59217488</t>
  </si>
  <si>
    <t>Obrubník silniční ABO 2-15 v. 250 x 150 x 1000 mm přírodní</t>
  </si>
  <si>
    <t>;ztratné 2%; 0,1</t>
  </si>
  <si>
    <t>29</t>
  </si>
  <si>
    <t>59248130</t>
  </si>
  <si>
    <t>Dlažba vegetační betonová 20/20/8 + mezera 3 cm přírodní</t>
  </si>
  <si>
    <t>171,0*25</t>
  </si>
  <si>
    <t>;ztratné 5%; 213,75</t>
  </si>
  <si>
    <t xml:space="preserve">spotřeba 25 ks/m2
Vegetační dlažba bude dodána ze skladu investora v Pístově u Jihlavy - 180 m2 včetně ztratného, doprava hmot 2 km.
Položku ocenit nulovou cenou !!</t>
  </si>
  <si>
    <t>SO 102</t>
  </si>
  <si>
    <t>Oprava parkoviště za BD Vrchlického 47-51</t>
  </si>
  <si>
    <t>30</t>
  </si>
  <si>
    <t>113107620R00</t>
  </si>
  <si>
    <t>Odstranění krytu nad 50 m2,kam.drcené tl.20 cm</t>
  </si>
  <si>
    <t>SO 102_1_</t>
  </si>
  <si>
    <t>SO 102_</t>
  </si>
  <si>
    <t>štěrk + asf. recyklát</t>
  </si>
  <si>
    <t>494,1+10,2</t>
  </si>
  <si>
    <t>31</t>
  </si>
  <si>
    <t>32</t>
  </si>
  <si>
    <t>10,0*0,15</t>
  </si>
  <si>
    <t>33</t>
  </si>
  <si>
    <t>10*0,15*2</t>
  </si>
  <si>
    <t>34</t>
  </si>
  <si>
    <t>3,0*5</t>
  </si>
  <si>
    <t>35</t>
  </si>
  <si>
    <t>36</t>
  </si>
  <si>
    <t>10*0,15</t>
  </si>
  <si>
    <t>37</t>
  </si>
  <si>
    <t>(10,0+8,0)*0,3*0,3</t>
  </si>
  <si>
    <t>38</t>
  </si>
  <si>
    <t>39</t>
  </si>
  <si>
    <t>40</t>
  </si>
  <si>
    <t>494,1*1,05</t>
  </si>
  <si>
    <t>41</t>
  </si>
  <si>
    <t>42</t>
  </si>
  <si>
    <t>SO 102_5_</t>
  </si>
  <si>
    <t>29,0*0,5</t>
  </si>
  <si>
    <t>43</t>
  </si>
  <si>
    <t>564831111RT4</t>
  </si>
  <si>
    <t>Podklad ze štěrkodrti po zhutnění tloušťky 10 cm</t>
  </si>
  <si>
    <t>57</t>
  </si>
  <si>
    <t>Kryty pozemních komunikací, letišť a ploch z kameniva nebo živičné</t>
  </si>
  <si>
    <t>44</t>
  </si>
  <si>
    <t>579300012R00</t>
  </si>
  <si>
    <t>Kryt komunikací z asfalt.recyklátu po zhutnění 5cm</t>
  </si>
  <si>
    <t>57_</t>
  </si>
  <si>
    <t>vyrovnání nájezdu z parku</t>
  </si>
  <si>
    <t>45</t>
  </si>
  <si>
    <t>46</t>
  </si>
  <si>
    <t>47</t>
  </si>
  <si>
    <t>494,1*0,023</t>
  </si>
  <si>
    <t>48</t>
  </si>
  <si>
    <t>917762114R00</t>
  </si>
  <si>
    <t>Osazení ležatého obrubníku betonového, s boční opěrou, do lože z betonu C 16/20 Nxf1</t>
  </si>
  <si>
    <t>SO 102_9_</t>
  </si>
  <si>
    <t>nájezdový obrubník</t>
  </si>
  <si>
    <t>49</t>
  </si>
  <si>
    <t>9,0+4,4+1,0+1,0+10,0</t>
  </si>
  <si>
    <t>započtena rezerva 10 ks bet. obrubníků 1000/150/250 mm pro případnou výměnu poškozených obrub</t>
  </si>
  <si>
    <t>50</t>
  </si>
  <si>
    <t>534,4-229,5</t>
  </si>
  <si>
    <t>51</t>
  </si>
  <si>
    <t>52</t>
  </si>
  <si>
    <t>229,5*9</t>
  </si>
  <si>
    <t>53</t>
  </si>
  <si>
    <t>520,0*0,148</t>
  </si>
  <si>
    <t>54</t>
  </si>
  <si>
    <t>55</t>
  </si>
  <si>
    <t>Poplatek za recyklaci suti - beton, štěrk, asfalt</t>
  </si>
  <si>
    <t>SO 102_Z_</t>
  </si>
  <si>
    <t>20*0,03</t>
  </si>
  <si>
    <t>11,36*2,3</t>
  </si>
  <si>
    <t>58</t>
  </si>
  <si>
    <t>592171570</t>
  </si>
  <si>
    <t>Obrubník silniční CSB H 25 oblouk. R2 vnější, přírodní 780x150x250 mm</t>
  </si>
  <si>
    <t>;ztratné 2%; 0,12</t>
  </si>
  <si>
    <t>;ztratné 2%; 0,18</t>
  </si>
  <si>
    <t>60</t>
  </si>
  <si>
    <t>59217476</t>
  </si>
  <si>
    <t>Obrubník silniční nájezdový výška 150 mm, 1000 x 150 mm šedý</t>
  </si>
  <si>
    <t>;ztratné 2%; 0,06</t>
  </si>
  <si>
    <t>61</t>
  </si>
  <si>
    <t>;ztratné 2%; 0,24</t>
  </si>
  <si>
    <t>62</t>
  </si>
  <si>
    <t>494,1*25</t>
  </si>
  <si>
    <t>;ztratné 5%; 617,625</t>
  </si>
  <si>
    <t xml:space="preserve">spotřeba 25 ks/m2
Vegetační dlažba bude dodána ze skladu investora v Pístově u Jihlavy - 520 m2 včetně ztratného, doprava hmot 2 km.
Položku ocenit nulovou cenou !!</t>
  </si>
  <si>
    <t>SO 103</t>
  </si>
  <si>
    <t>Oprava parkoviště za BD Vrchlického 41-45</t>
  </si>
  <si>
    <t>63</t>
  </si>
  <si>
    <t>SO 103_1_</t>
  </si>
  <si>
    <t>SO 103_</t>
  </si>
  <si>
    <t>64</t>
  </si>
  <si>
    <t>41,0+10,0</t>
  </si>
  <si>
    <t>65</t>
  </si>
  <si>
    <t>40,0*0,15</t>
  </si>
  <si>
    <t>66</t>
  </si>
  <si>
    <t>67</t>
  </si>
  <si>
    <t>2,0*5</t>
  </si>
  <si>
    <t>68</t>
  </si>
  <si>
    <t>69</t>
  </si>
  <si>
    <t>(41,0+10,0)*0,3*0,3</t>
  </si>
  <si>
    <t>70</t>
  </si>
  <si>
    <t>71</t>
  </si>
  <si>
    <t>413,6*1,05</t>
  </si>
  <si>
    <t>72</t>
  </si>
  <si>
    <t>73</t>
  </si>
  <si>
    <t>SO 103_5_</t>
  </si>
  <si>
    <t>51,0*0,5</t>
  </si>
  <si>
    <t>74</t>
  </si>
  <si>
    <t>75</t>
  </si>
  <si>
    <t>76</t>
  </si>
  <si>
    <t>77</t>
  </si>
  <si>
    <t>78</t>
  </si>
  <si>
    <t>413,6*0,023</t>
  </si>
  <si>
    <t>89</t>
  </si>
  <si>
    <t>Ostatní konstrukce a práce na trubním vedení</t>
  </si>
  <si>
    <t>79</t>
  </si>
  <si>
    <t>899231111R00</t>
  </si>
  <si>
    <t>Výšková úprava vstupu do 20 cm, zvýšení mříže</t>
  </si>
  <si>
    <t>89_</t>
  </si>
  <si>
    <t>SO 103_8_</t>
  </si>
  <si>
    <t>80</t>
  </si>
  <si>
    <t>SO 103_9_</t>
  </si>
  <si>
    <t>81</t>
  </si>
  <si>
    <t>30,0+10,0</t>
  </si>
  <si>
    <t xml:space="preserve">u zelené plochy střídání výšky obrubníků  pro odvod vody
započtena rezerva 10 ks bet. obrubníků 1000/150/250 mm pro případnou výměnu poškozených obrub</t>
  </si>
  <si>
    <t>82</t>
  </si>
  <si>
    <t>461,7-195,8</t>
  </si>
  <si>
    <t>83</t>
  </si>
  <si>
    <t>84</t>
  </si>
  <si>
    <t>195,8*9</t>
  </si>
  <si>
    <t>85</t>
  </si>
  <si>
    <t>86</t>
  </si>
  <si>
    <t>SO 103_Z_</t>
  </si>
  <si>
    <t>40*0,03</t>
  </si>
  <si>
    <t>87</t>
  </si>
  <si>
    <t>9,5*2,3</t>
  </si>
  <si>
    <t>88</t>
  </si>
  <si>
    <t>;ztratné 2%; 0,6</t>
  </si>
  <si>
    <t>;ztratné 2%; 0,22</t>
  </si>
  <si>
    <t>90</t>
  </si>
  <si>
    <t>;ztratné 2%; 0,2</t>
  </si>
  <si>
    <t>413,6*25</t>
  </si>
  <si>
    <t>;ztratné 5%; 517</t>
  </si>
  <si>
    <t>25 ks/m2</t>
  </si>
  <si>
    <t>SO 104</t>
  </si>
  <si>
    <t>Oprava parkoviště za BD Vrchlického 37</t>
  </si>
  <si>
    <t>92</t>
  </si>
  <si>
    <t>113107640R00</t>
  </si>
  <si>
    <t>Odstranění krytu nad 50 m2,kam.drcené tl.40 cm</t>
  </si>
  <si>
    <t>SO 104_1_</t>
  </si>
  <si>
    <t>SO 104_</t>
  </si>
  <si>
    <t>93</t>
  </si>
  <si>
    <t>80,5+12,0</t>
  </si>
  <si>
    <t>94</t>
  </si>
  <si>
    <t>(80+18)*0,12</t>
  </si>
  <si>
    <t>95</t>
  </si>
  <si>
    <t>122202201R00</t>
  </si>
  <si>
    <t>Odkopávky pro silnice v hor. 3 do 100 m3</t>
  </si>
  <si>
    <t>53,0*0,3+14,0*0,2</t>
  </si>
  <si>
    <t>96</t>
  </si>
  <si>
    <t>122202209R00</t>
  </si>
  <si>
    <t>Příplatek za lepivost - odkop. pro silnice v hor.3</t>
  </si>
  <si>
    <t>Hloubené vykopávky</t>
  </si>
  <si>
    <t>97</t>
  </si>
  <si>
    <t>133201101R00</t>
  </si>
  <si>
    <t>Hloubení šachet v hor.3 do 100 m3</t>
  </si>
  <si>
    <t>13_</t>
  </si>
  <si>
    <t>vsakovací jáma</t>
  </si>
  <si>
    <t>1,5*1,5*1,8</t>
  </si>
  <si>
    <t>V položce je kalkulováno i svislé přemístění výkopku.</t>
  </si>
  <si>
    <t>98</t>
  </si>
  <si>
    <t>133201109R00</t>
  </si>
  <si>
    <t>Příplatek za lepivost - hloubení šachet v hor.3</t>
  </si>
  <si>
    <t>99</t>
  </si>
  <si>
    <t>18,7+4,05-6,3-3,2</t>
  </si>
  <si>
    <t>100</t>
  </si>
  <si>
    <t>13,25*5</t>
  </si>
  <si>
    <t>101</t>
  </si>
  <si>
    <t>uložení na skládku</t>
  </si>
  <si>
    <t>102</t>
  </si>
  <si>
    <t>199000002R00</t>
  </si>
  <si>
    <t>Poplatek za skládku horniny 1- 4, č. dle katal. odpadů 17 05 04</t>
  </si>
  <si>
    <t>103</t>
  </si>
  <si>
    <t>171101101R00</t>
  </si>
  <si>
    <t>Uložení sypaniny do násypů zhutněných na 95% PS</t>
  </si>
  <si>
    <t>25*0,125</t>
  </si>
  <si>
    <t>104</t>
  </si>
  <si>
    <t>10*0,3</t>
  </si>
  <si>
    <t>105</t>
  </si>
  <si>
    <t>(14,0+47,0+9,0)*0,3*0,3</t>
  </si>
  <si>
    <t>106</t>
  </si>
  <si>
    <t>174201101R00</t>
  </si>
  <si>
    <t>Zásyp jam, rýh, šachet bez zhutnění</t>
  </si>
  <si>
    <t>výplň vsak. jímky</t>
  </si>
  <si>
    <t>1,5*1,5*1,5</t>
  </si>
  <si>
    <t>107</t>
  </si>
  <si>
    <t>108</t>
  </si>
  <si>
    <t>180402113R00</t>
  </si>
  <si>
    <t>Založení trávníku parkového výsevem svah do 1:1</t>
  </si>
  <si>
    <t>109</t>
  </si>
  <si>
    <t>181006114R00</t>
  </si>
  <si>
    <t>Rozprostření zemin v rov./sklonu 1:5, tl. do 30 cm</t>
  </si>
  <si>
    <t>rekultivovaná plocha</t>
  </si>
  <si>
    <t>110</t>
  </si>
  <si>
    <t>(290,5+29+10,0)*1,05</t>
  </si>
  <si>
    <t>111</t>
  </si>
  <si>
    <t>112</t>
  </si>
  <si>
    <t>182101101R00</t>
  </si>
  <si>
    <t>Svahování v zářezech v hor. 1 - 4</t>
  </si>
  <si>
    <t>113</t>
  </si>
  <si>
    <t>182301122R00</t>
  </si>
  <si>
    <t>Rozprostření ornice, svah, tl. 10-15 cm, do 500 m2</t>
  </si>
  <si>
    <t>Zpevněné plochy (kromě vozovek a železničního svršku)</t>
  </si>
  <si>
    <t>114</t>
  </si>
  <si>
    <t>463211121R00</t>
  </si>
  <si>
    <t>Rovnanina z lomového kamene s vyplněním spár</t>
  </si>
  <si>
    <t>46_</t>
  </si>
  <si>
    <t>SO 104_4_</t>
  </si>
  <si>
    <t>tloušťka 40 cm</t>
  </si>
  <si>
    <t>1,5*1,5*0,4</t>
  </si>
  <si>
    <t>115</t>
  </si>
  <si>
    <t>SO 104_5_</t>
  </si>
  <si>
    <t>(60,5+24+11,5)*0,5</t>
  </si>
  <si>
    <t>116</t>
  </si>
  <si>
    <t>564861111RT4</t>
  </si>
  <si>
    <t>Podklad ze štěrkodrti po zhutnění tloušťky 20 cm</t>
  </si>
  <si>
    <t>117</t>
  </si>
  <si>
    <t>564871111RT4</t>
  </si>
  <si>
    <t>Podklad ze štěrkodrti po zhutnění tloušťky 25 cm</t>
  </si>
  <si>
    <t>290,5+29,0</t>
  </si>
  <si>
    <t>118</t>
  </si>
  <si>
    <t>568111111R00</t>
  </si>
  <si>
    <t>Zřízení vrstvy z geotextilie skl.do 1:5, š.do 3 m</t>
  </si>
  <si>
    <t>vsakovací jímka</t>
  </si>
  <si>
    <t>6*1,5*1,5</t>
  </si>
  <si>
    <t>119</t>
  </si>
  <si>
    <t>579 90-1001</t>
  </si>
  <si>
    <t>Napojení nového chodníku na stávající chodník</t>
  </si>
  <si>
    <t>kpl</t>
  </si>
  <si>
    <t>RTS I / 2023</t>
  </si>
  <si>
    <t>vč. snížení obrub</t>
  </si>
  <si>
    <t>120</t>
  </si>
  <si>
    <t>vyrovnání nájezdu z parku a u garáží</t>
  </si>
  <si>
    <t>8,0+20,0*1,25</t>
  </si>
  <si>
    <t>121</t>
  </si>
  <si>
    <t>596215020R00</t>
  </si>
  <si>
    <t>Kladení zámkové dlažby tl. 6 cm do drtě tl. 3 cm</t>
  </si>
  <si>
    <t>122</t>
  </si>
  <si>
    <t>vegetační dlažba+parketa 20/10</t>
  </si>
  <si>
    <t>123</t>
  </si>
  <si>
    <t>596291111R00</t>
  </si>
  <si>
    <t>Řezání zámkové dlažby tl. 60 mm</t>
  </si>
  <si>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</si>
  <si>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</si>
  <si>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</si>
  <si>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</si>
  <si>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</si>
  <si>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</si>
  <si>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</si>
  <si>
    <t>597092311RT1</t>
  </si>
  <si>
    <t>Žlab odvodňovací ACO V 200 S,dl.1000 mm</t>
  </si>
  <si>
    <t>šířka 235 mm, stavební výška 290-325 mm</t>
  </si>
  <si>
    <t>128</t>
  </si>
  <si>
    <t>597092312R00</t>
  </si>
  <si>
    <t>Žlab odvodňovací ACO V 200 S, dl.500 mm</t>
  </si>
  <si>
    <t>129</t>
  </si>
  <si>
    <t>597092332R00</t>
  </si>
  <si>
    <t>Čelo žlabu ACO V 200 S pro přípojku DN 160</t>
  </si>
  <si>
    <t>130</t>
  </si>
  <si>
    <t>597092343RS3</t>
  </si>
  <si>
    <t>Krycí rošt ACO Drainlock V 200 S,C 250,dl.1000mm</t>
  </si>
  <si>
    <t>mřížkový MW 20x25 mm, pozink. ocel</t>
  </si>
  <si>
    <t>131</t>
  </si>
  <si>
    <t>597092353RS3</t>
  </si>
  <si>
    <t>Krycí rošt ACO Drainlock V 200 S, C 250,dl.500 mm</t>
  </si>
  <si>
    <t>132</t>
  </si>
  <si>
    <t>597092394R00</t>
  </si>
  <si>
    <t>Příplatek ke žlabu V 200 S za únosnost lože D 400</t>
  </si>
  <si>
    <t>133</t>
  </si>
  <si>
    <t>597101113RT1</t>
  </si>
  <si>
    <t>Montáž odvodňovacího žlabu - polymerbeton D 400</t>
  </si>
  <si>
    <t>včetně beton. lože C16/20,zatížení C 250, D 400 kN</t>
  </si>
  <si>
    <t>Potrubí z trub PVC</t>
  </si>
  <si>
    <t>134</t>
  </si>
  <si>
    <t>831350113RAB</t>
  </si>
  <si>
    <t>Kanalizační přípojka z trub PVC, D 160 mm - kompletní vč. potrubí</t>
  </si>
  <si>
    <t>83_</t>
  </si>
  <si>
    <t>SO 104_8_</t>
  </si>
  <si>
    <t>rýha šířky 0,8 m, hloubky do 0,8 m</t>
  </si>
  <si>
    <t>135</t>
  </si>
  <si>
    <t>SO 104_9_</t>
  </si>
  <si>
    <t>20,0+4,0</t>
  </si>
  <si>
    <t>136</t>
  </si>
  <si>
    <t>14,0+36,0+10,5+6,0+5,5</t>
  </si>
  <si>
    <t>137</t>
  </si>
  <si>
    <t>627,9-278,4</t>
  </si>
  <si>
    <t>138</t>
  </si>
  <si>
    <t>139</t>
  </si>
  <si>
    <t>278,4*9</t>
  </si>
  <si>
    <t>140</t>
  </si>
  <si>
    <t>141</t>
  </si>
  <si>
    <t>SO 104_Z_</t>
  </si>
  <si>
    <t>60*0,03</t>
  </si>
  <si>
    <t>142</t>
  </si>
  <si>
    <t>6,68*2,3</t>
  </si>
  <si>
    <t>143</t>
  </si>
  <si>
    <t>583428061</t>
  </si>
  <si>
    <t>Kamenivo drcené 63/125 Z Bílý Kámen, VYS</t>
  </si>
  <si>
    <t>3,38*1,5</t>
  </si>
  <si>
    <t>výplň vsakovací jímky</t>
  </si>
  <si>
    <t>144</t>
  </si>
  <si>
    <t>60,5</t>
  </si>
  <si>
    <t>;ztratné 2%; 1,21</t>
  </si>
  <si>
    <t>145</t>
  </si>
  <si>
    <t>592174230</t>
  </si>
  <si>
    <t>Obrubník chodníkový ABO 16-10 v. 250 x 80 x 1000 mm přírodní</t>
  </si>
  <si>
    <t>11,5</t>
  </si>
  <si>
    <t>;ztratné 2%; 0,23</t>
  </si>
  <si>
    <t>146</t>
  </si>
  <si>
    <t>;ztratné 2%; 0,48</t>
  </si>
  <si>
    <t>147</t>
  </si>
  <si>
    <t>59245110</t>
  </si>
  <si>
    <t>Dlažba betonová  200 x 100 x 60 mm přírodní</t>
  </si>
  <si>
    <t>10,1</t>
  </si>
  <si>
    <t>;ztratné 5%; 0,505</t>
  </si>
  <si>
    <t>148</t>
  </si>
  <si>
    <t>592451151</t>
  </si>
  <si>
    <t>Dlažba betonová SPL pro nevidomé 200 x 100 x 60 mm červená</t>
  </si>
  <si>
    <t>0,9</t>
  </si>
  <si>
    <t>;ztratné 5%; 0,045</t>
  </si>
  <si>
    <t>149</t>
  </si>
  <si>
    <t>592451170</t>
  </si>
  <si>
    <t>Dlažba betonová 200 x 100 x 80 mm přírodní</t>
  </si>
  <si>
    <t>29,0</t>
  </si>
  <si>
    <t>;ztratné 5%; 1,45</t>
  </si>
  <si>
    <t>150</t>
  </si>
  <si>
    <t>290,5*25</t>
  </si>
  <si>
    <t>;ztratné 5%; 363,125</t>
  </si>
  <si>
    <t>151</t>
  </si>
  <si>
    <t>67352003</t>
  </si>
  <si>
    <t>Geotextilie netkaná  PET 250 g/m2</t>
  </si>
  <si>
    <t>13,5</t>
  </si>
  <si>
    <t>;ztratné 15%; 2,025</t>
  </si>
  <si>
    <t>VORN</t>
  </si>
  <si>
    <t>Vedlejší a ostatní rozpočtové náklady</t>
  </si>
  <si>
    <t>010VD</t>
  </si>
  <si>
    <t>Vedlejší rozpočtové náklady</t>
  </si>
  <si>
    <t>152</t>
  </si>
  <si>
    <t>100 00-01</t>
  </si>
  <si>
    <t>Náklady na pasport stávajících staveb</t>
  </si>
  <si>
    <t>soubor</t>
  </si>
  <si>
    <t>RTS I / 2024</t>
  </si>
  <si>
    <t>010VD_</t>
  </si>
  <si>
    <t>VORN_0_</t>
  </si>
  <si>
    <t>VORN_</t>
  </si>
  <si>
    <t>Zpracování pasportu stávajících staveb, pořízení fotodokumentace, protokol o stavu stávajících staveb a konstrukcí</t>
  </si>
  <si>
    <t>153</t>
  </si>
  <si>
    <t>Dopravně inženýrská opatření</t>
  </si>
  <si>
    <t xml:space="preserve">Dopravně inženýrská opatření po dobu stavby, prováděná v souladu s pokyny Policie ČR - dopravního inspektorátu, dle pokynů příslušného odboru dopravy a správce komunikace - Služby města Jihlavy a dle pokynů dalších příslušných orgánů.
Včetně veškerého přechodného dopravního značení, vč. instalace a zajištění servisu značení po celou dobu trvání stavby.
Zajištění prací pro "Stanovení přechodné úpravy silničního provozu na komunikacích dle §77 zákona č. 361/2000 Sb., O provozu na pozemních komunikacích."
Zpracování plánu DIO.</t>
  </si>
  <si>
    <t>154</t>
  </si>
  <si>
    <t>Náklady na vytýčení budovaných ploch</t>
  </si>
  <si>
    <t>Geodetické vytýčení nově budovaných parkovacích míst a souvisejícíchc konstrukcí, včetně nákladů na opakovanou dopravu geodetické skupiny, práce kancelářské a výstupní materiál.</t>
  </si>
  <si>
    <t>155</t>
  </si>
  <si>
    <t>Náklady na vytýčení stávajících inž. sítí</t>
  </si>
  <si>
    <t xml:space="preserve">Polohové a hloubkové vytyčení stávajících sítí před zahájením zemních prací pro každou stavbu zvlášť,
( opakované vytyčení v případě poškození, ztráty, znehodnocení či nejasnosti vytyčovacích znaků v terénu
staveniště ) sítě a zařízení, včetně protokolárního předání vytyčení</t>
  </si>
  <si>
    <t>156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</si>
  <si>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</si>
  <si>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</si>
  <si>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157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</si>
  <si>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</si>
  <si>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
náklady na osazení, přemístění a zrušení cedulí
</t>
  </si>
  <si>
    <t>158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</si>
  <si>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</si>
  <si>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</si>
  <si>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159</t>
  </si>
  <si>
    <t>Náklady na projednání záborů</t>
  </si>
  <si>
    <t>Náklady na projednání a zajištění záborů všech ploch potřebných k realizaci stavby, včetně případných poplatků za pronájem ploch.</t>
  </si>
  <si>
    <t>160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</si>
  <si>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</si>
  <si>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</si>
  <si>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161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</si>
  <si>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</si>
  <si>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</si>
  <si>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162</t>
  </si>
  <si>
    <t>200 00-01</t>
  </si>
  <si>
    <t>Geometrický plán stavby</t>
  </si>
  <si>
    <t xml:space="preserve">Geometrický plán stavby pro vložení do katastru nemovitostí, zhotovený oprávněnou osobou.
</t>
  </si>
  <si>
    <t>163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</si>
  <si>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</si>
  <si>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</si>
  <si>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164</t>
  </si>
  <si>
    <t>Geodetické zaměření skutečného provedení stavby</t>
  </si>
  <si>
    <t>Geodetické zaměření MICROSTATION skutečného stavu provedených konstrukcí, včetně veřejného osvětlení, včetně nákladů na opakovanou dopravu geodetické skupiny, práce kancelářské a výstupní materiál.</t>
  </si>
  <si>
    <t>VRN-ZS</t>
  </si>
  <si>
    <t>Vedlejší rozpočtové náklady - zařízení staveniště</t>
  </si>
  <si>
    <t>165</t>
  </si>
  <si>
    <t>Náklady na zařízení staveniště</t>
  </si>
  <si>
    <t>VRN-ZS_0_</t>
  </si>
  <si>
    <t>VRN-ZS_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</si>
  <si>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
</t>
  </si>
  <si>
    <t>Celkem:</t>
  </si>
  <si>
    <t>Náklady na veškeré výkony a materiály jsou obsaženy v příslušných položkách</t>
  </si>
  <si>
    <t>Soupis prací - Jen objekty celkem</t>
  </si>
  <si>
    <t>Zkrácený popis</t>
  </si>
  <si>
    <t>F</t>
  </si>
  <si>
    <t>Krycí list soupisu prací</t>
  </si>
  <si>
    <t>IČO/DIČ:</t>
  </si>
  <si>
    <t>00286010/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</si>
  <si>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</si>
  <si>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</si>
  <si>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</si>
  <si>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</si>
  <si>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</si>
  <si>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</si>
  <si>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</si>
  <si>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</si>
  <si>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</si>
  <si>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</si>
  <si>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</si>
  <si>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</si>
  <si>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</si>
  <si>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</si>
  <si>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</si>
  <si>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</si>
  <si>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</si>
  <si>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</si>
  <si>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</si>
  <si>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</si>
  <si>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</si>
  <si>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</si>
  <si>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</si>
  <si>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</si>
  <si>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</si>
  <si>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</si>
  <si>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</si>
  <si>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</si>
  <si>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</si>
  <si>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</si>
  <si>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</si>
  <si>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</si>
  <si>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</si>
  <si>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</si>
  <si>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</si>
  <si>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</si>
  <si>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</si>
  <si>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</si>
  <si>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</si>
  <si>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</si>
  <si>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</si>
  <si>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 xml:space="preserve">Náklady na veškeré výkony a materiály jsou obsaženy v příslušných položkách 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</si>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</sst>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>
  <numFmts count="0"/>
  <fonts count="14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  <b/>
    </font>
    <font>
      <color rgb="FF000000"/>
      <sz val="10"/>
      <name val="Arial"/>
      <charset val="238"/>
    </font>
    <font>
      <color rgb="FF0000FF"/>
      <sz val="10"/>
      <name val="Arial"/>
      <charset val="238"/>
      <i/>
    </font>
    <font>
      <color rgb="FF000000"/>
      <sz val="10"/>
      <name val="Arial"/>
      <charset val="238"/>
      <i/>
    </font>
    <font>
      <color rgb="FFDF0000"/>
      <sz val="10"/>
      <name val="Arial"/>
      <charset val="238"/>
      <i/>
    </font>
    <font>
      <color rgb="FF0078D7"/>
      <sz val="10"/>
      <name val="Arial"/>
      <charset val="238"/>
      <i/>
    </font>
    <font>
      <color rgb="FF000000"/>
      <sz val="8"/>
      <name val="Arial"/>
      <charset val="238"/>
      <i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borderId="0" fillId="0" fontId="0" numFmtId="0"/>
  </cellStyleXfs>
  <cellXfs count="18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3" fontId="3" numFmtId="0" xfId="0">
      <alignment horizontal="left" vertical="center" textRotation="0" shrinkToFit="false" wrapText="true"/>
      <protection hidden="false" locked="false"/>
    </xf>
    <xf applyAlignment="true" applyBorder="true" applyFill="true" applyNumberFormat="true" applyFont="true" applyProtection="true" borderId="6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1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2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1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2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24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29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6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7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3" fontId="7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33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2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2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2" fontId="1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2" fontId="1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1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1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12" numFmtId="0" xfId="0">
      <alignment horizontal="right" vertical="center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436"/>
  <sheetViews>
    <sheetView workbookViewId="0" tabSelected="true" showZeros="true" showFormulas="false" showGridLines="true" showRowColHeaders="true">
      <pane topLeftCell="A12" state="frozen" activePane="bottomLeft" ySplit="11"/>
      <selection pane="bottomLeft" sqref="A436:L436" activeCell="A436"/>
    </sheetView>
  </sheetViews>
  <sheetFormatPr defaultColWidth="12.140625" customHeight="true" defaultRowHeight="15"/>
  <cols>
    <col max="1" min="1" style="0" width="3.99609375" customWidth="true"/>
    <col max="2" min="2" style="0" width="7.5703125" customWidth="true"/>
    <col max="3" min="3" style="0" width="17.85546875" customWidth="true"/>
    <col max="4" min="4" style="0" width="28.5703125" customWidth="true"/>
    <col max="5" min="5" style="0" width="35.7109375" customWidth="true"/>
    <col max="6" min="6" style="0" width="6.42578125" customWidth="true"/>
    <col max="7" min="7" style="0" width="12.85546875" customWidth="true"/>
    <col max="8" min="8" style="0" width="12" customWidth="true"/>
    <col max="11" min="9" style="0" width="15.7109375" customWidth="true"/>
    <col max="12" min="12" style="0" width="13.42578125" customWidth="true"/>
    <col max="75" min="25" style="0" width="12.140625" hidden="true"/>
    <col max="76" min="76" style="0" width="64.28515625" customWidth="true" hidden="true"/>
    <col max="78" min="77" style="0" width="12.140625" hidden="true"/>
  </cols>
  <sheetData>
    <row r="1" customHeight="true" ht="54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AS1" s="2">
        <f>SUM(AJ1:AJ2)</f>
      </c>
      <c r="AT1" s="2">
        <f>SUM(AK1:AK2)</f>
      </c>
      <c r="AU1" s="2">
        <f>SUM(AL1:AL2)</f>
      </c>
    </row>
    <row r="2">
      <c r="A2" s="3" t="s">
        <v>1</v>
      </c>
      <c r="B2" s="4"/>
      <c r="C2" s="4"/>
      <c r="D2" s="5" t="s">
        <v>2</v>
      </c>
      <c r="E2" s="6"/>
      <c r="F2" s="4" t="s">
        <v>3</v>
      </c>
      <c r="G2" s="4"/>
      <c r="H2" s="7" t="s">
        <v>4</v>
      </c>
      <c r="I2" s="8" t="s">
        <v>5</v>
      </c>
      <c r="J2" s="8" t="s">
        <v>6</v>
      </c>
      <c r="K2" s="4"/>
      <c r="L2" s="9"/>
    </row>
    <row r="3">
      <c r="A3" s="10"/>
      <c r="B3" s="11"/>
      <c r="C3" s="11"/>
      <c r="D3" s="12"/>
      <c r="E3" s="12"/>
      <c r="F3" s="11"/>
      <c r="G3" s="11"/>
      <c r="H3" s="13"/>
      <c r="I3" s="11"/>
      <c r="J3" s="11"/>
      <c r="K3" s="11"/>
      <c r="L3" s="14"/>
    </row>
    <row r="4">
      <c r="A4" s="15" t="s">
        <v>7</v>
      </c>
      <c r="B4" s="11"/>
      <c r="C4" s="11"/>
      <c r="D4" s="16" t="s">
        <v>4</v>
      </c>
      <c r="E4" s="11"/>
      <c r="F4" s="11" t="s">
        <v>8</v>
      </c>
      <c r="G4" s="11"/>
      <c r="H4" s="13" t="s">
        <v>4</v>
      </c>
      <c r="I4" s="16" t="s">
        <v>9</v>
      </c>
      <c r="J4" s="11" t="s">
        <v>10</v>
      </c>
      <c r="K4" s="11"/>
      <c r="L4" s="14"/>
    </row>
    <row r="5">
      <c r="A5" s="10"/>
      <c r="B5" s="11"/>
      <c r="C5" s="11"/>
      <c r="D5" s="11"/>
      <c r="E5" s="11"/>
      <c r="F5" s="11"/>
      <c r="G5" s="11"/>
      <c r="H5" s="13"/>
      <c r="I5" s="11"/>
      <c r="J5" s="11"/>
      <c r="K5" s="11"/>
      <c r="L5" s="14"/>
    </row>
    <row r="6">
      <c r="A6" s="15" t="s">
        <v>11</v>
      </c>
      <c r="B6" s="11"/>
      <c r="C6" s="11"/>
      <c r="D6" s="16" t="s">
        <v>12</v>
      </c>
      <c r="E6" s="11"/>
      <c r="F6" s="11" t="s">
        <v>13</v>
      </c>
      <c r="G6" s="11"/>
      <c r="H6" s="13" t="s">
        <v>4</v>
      </c>
      <c r="I6" s="16" t="s">
        <v>14</v>
      </c>
      <c r="J6" s="17" t="s">
        <v>15</v>
      </c>
      <c r="K6" s="13"/>
      <c r="L6" s="18"/>
    </row>
    <row r="7">
      <c r="A7" s="10"/>
      <c r="B7" s="11"/>
      <c r="C7" s="11"/>
      <c r="D7" s="11"/>
      <c r="E7" s="11"/>
      <c r="F7" s="11"/>
      <c r="G7" s="11"/>
      <c r="H7" s="13"/>
      <c r="I7" s="11"/>
      <c r="J7" s="13"/>
      <c r="K7" s="13"/>
      <c r="L7" s="18"/>
    </row>
    <row r="8">
      <c r="A8" s="15" t="s">
        <v>16</v>
      </c>
      <c r="B8" s="11"/>
      <c r="C8" s="11"/>
      <c r="D8" s="16" t="s">
        <v>4</v>
      </c>
      <c r="E8" s="11"/>
      <c r="F8" s="11" t="s">
        <v>17</v>
      </c>
      <c r="G8" s="11"/>
      <c r="H8" s="13" t="s">
        <v>18</v>
      </c>
      <c r="I8" s="16" t="s">
        <v>19</v>
      </c>
      <c r="J8" s="17" t="s">
        <v>20</v>
      </c>
      <c r="K8" s="13"/>
      <c r="L8" s="18"/>
    </row>
    <row r="9">
      <c r="A9" s="19"/>
      <c r="B9" s="20"/>
      <c r="C9" s="20"/>
      <c r="D9" s="20"/>
      <c r="E9" s="20"/>
      <c r="F9" s="20"/>
      <c r="G9" s="20"/>
      <c r="H9" s="21"/>
      <c r="I9" s="20"/>
      <c r="J9" s="21"/>
      <c r="K9" s="21"/>
      <c r="L9" s="22"/>
    </row>
    <row r="10">
      <c r="A10" s="23" t="s">
        <v>21</v>
      </c>
      <c r="B10" s="24" t="s">
        <v>22</v>
      </c>
      <c r="C10" s="24" t="s">
        <v>23</v>
      </c>
      <c r="D10" s="25" t="s">
        <v>24</v>
      </c>
      <c r="E10" s="26"/>
      <c r="F10" s="24" t="s">
        <v>25</v>
      </c>
      <c r="G10" s="27" t="s">
        <v>26</v>
      </c>
      <c r="H10" s="28" t="s">
        <v>27</v>
      </c>
      <c r="I10" s="29" t="s">
        <v>28</v>
      </c>
      <c r="J10" s="30"/>
      <c r="K10" s="31"/>
      <c r="L10" s="32" t="s">
        <v>29</v>
      </c>
      <c r="BK10" s="33" t="s">
        <v>30</v>
      </c>
      <c r="BL10" s="34" t="s">
        <v>31</v>
      </c>
      <c r="BW10" s="34" t="s">
        <v>32</v>
      </c>
    </row>
    <row r="11">
      <c r="A11" s="35" t="s">
        <v>4</v>
      </c>
      <c r="B11" s="36" t="s">
        <v>4</v>
      </c>
      <c r="C11" s="36" t="s">
        <v>4</v>
      </c>
      <c r="D11" s="37" t="s">
        <v>33</v>
      </c>
      <c r="E11" s="38"/>
      <c r="F11" s="36" t="s">
        <v>4</v>
      </c>
      <c r="G11" s="36" t="s">
        <v>4</v>
      </c>
      <c r="H11" s="39" t="s">
        <v>34</v>
      </c>
      <c r="I11" s="40" t="s">
        <v>35</v>
      </c>
      <c r="J11" s="41" t="s">
        <v>36</v>
      </c>
      <c r="K11" s="42" t="s">
        <v>37</v>
      </c>
      <c r="L11" s="43" t="s">
        <v>38</v>
      </c>
      <c r="Z11" s="33" t="s">
        <v>39</v>
      </c>
      <c r="AA11" s="33" t="s">
        <v>40</v>
      </c>
      <c r="AB11" s="33" t="s">
        <v>41</v>
      </c>
      <c r="AC11" s="33" t="s">
        <v>42</v>
      </c>
      <c r="AD11" s="33" t="s">
        <v>43</v>
      </c>
      <c r="AE11" s="33" t="s">
        <v>44</v>
      </c>
      <c r="AF11" s="33" t="s">
        <v>45</v>
      </c>
      <c r="AG11" s="33" t="s">
        <v>46</v>
      </c>
      <c r="AH11" s="33" t="s">
        <v>47</v>
      </c>
      <c r="BH11" s="33" t="s">
        <v>48</v>
      </c>
      <c r="BI11" s="33" t="s">
        <v>49</v>
      </c>
      <c r="BJ11" s="33" t="s">
        <v>50</v>
      </c>
    </row>
    <row r="12">
      <c r="A12" s="44" t="s">
        <v>51</v>
      </c>
      <c r="B12" s="45" t="s">
        <v>52</v>
      </c>
      <c r="C12" s="45" t="s">
        <v>51</v>
      </c>
      <c r="D12" s="46" t="s">
        <v>53</v>
      </c>
      <c r="E12" s="45"/>
      <c r="F12" s="47" t="s">
        <v>4</v>
      </c>
      <c r="G12" s="47" t="s">
        <v>4</v>
      </c>
      <c r="H12" s="48" t="s">
        <v>4</v>
      </c>
      <c r="I12" s="49">
        <f>I13+I19+I22+I30+I38+I45+I51+I57+I61+I64+I77</f>
      </c>
      <c r="J12" s="49">
        <f>J13+J19+J22+J30+J38+J45+J51+J57+J61+J64+J77</f>
      </c>
      <c r="K12" s="49">
        <f>K13+K19+K22+K30+K38+K45+K51+K57+K61+K64+K77</f>
      </c>
      <c r="L12" s="50" t="s">
        <v>51</v>
      </c>
    </row>
    <row r="13">
      <c r="A13" s="51" t="s">
        <v>51</v>
      </c>
      <c r="B13" s="52" t="s">
        <v>52</v>
      </c>
      <c r="C13" s="52" t="s">
        <v>54</v>
      </c>
      <c r="D13" s="53" t="s">
        <v>55</v>
      </c>
      <c r="E13" s="52"/>
      <c r="F13" s="54" t="s">
        <v>4</v>
      </c>
      <c r="G13" s="54" t="s">
        <v>4</v>
      </c>
      <c r="H13" s="55" t="s">
        <v>4</v>
      </c>
      <c r="I13" s="2">
        <f>SUM(I14:I16)</f>
      </c>
      <c r="J13" s="2">
        <f>SUM(J14:J16)</f>
      </c>
      <c r="K13" s="2">
        <f>SUM(K14:K16)</f>
      </c>
      <c r="L13" s="56" t="s">
        <v>51</v>
      </c>
      <c r="AI13" s="33" t="s">
        <v>52</v>
      </c>
      <c r="AS13" s="2">
        <f>SUM(AJ14:AJ16)</f>
      </c>
      <c r="AT13" s="2">
        <f>SUM(AK14:AK16)</f>
      </c>
      <c r="AU13" s="2">
        <f>SUM(AL14:AL16)</f>
      </c>
    </row>
    <row r="14">
      <c r="A14" s="10" t="s">
        <v>56</v>
      </c>
      <c r="B14" s="11" t="s">
        <v>52</v>
      </c>
      <c r="C14" s="11" t="s">
        <v>57</v>
      </c>
      <c r="D14" s="16" t="s">
        <v>58</v>
      </c>
      <c r="E14" s="11"/>
      <c r="F14" s="11" t="s">
        <v>59</v>
      </c>
      <c r="G14" s="57" t="n">
        <v>220</v>
      </c>
      <c r="H14" s="58" t="n">
        <v>0</v>
      </c>
      <c r="I14" s="57">
        <f>G14*AO14</f>
      </c>
      <c r="J14" s="57">
        <f>G14*AP14</f>
      </c>
      <c r="K14" s="57">
        <f>G14*H14</f>
      </c>
      <c r="L14" s="59" t="s">
        <v>60</v>
      </c>
      <c r="Z14" s="57">
        <f>IF(AQ14="5",BJ14,0)</f>
      </c>
      <c r="AB14" s="57">
        <f>IF(AQ14="1",BH14,0)</f>
      </c>
      <c r="AC14" s="57">
        <f>IF(AQ14="1",BI14,0)</f>
      </c>
      <c r="AD14" s="57">
        <f>IF(AQ14="7",BH14,0)</f>
      </c>
      <c r="AE14" s="57">
        <f>IF(AQ14="7",BI14,0)</f>
      </c>
      <c r="AF14" s="57">
        <f>IF(AQ14="2",BH14,0)</f>
      </c>
      <c r="AG14" s="57">
        <f>IF(AQ14="2",BI14,0)</f>
      </c>
      <c r="AH14" s="57">
        <f>IF(AQ14="0",BJ14,0)</f>
      </c>
      <c r="AI14" s="33" t="s">
        <v>52</v>
      </c>
      <c r="AJ14" s="57">
        <f>IF(AN14=0,K14,0)</f>
      </c>
      <c r="AK14" s="57">
        <f>IF(AN14=12,K14,0)</f>
      </c>
      <c r="AL14" s="57">
        <f>IF(AN14=21,K14,0)</f>
      </c>
      <c r="AN14" s="57" t="n">
        <v>21</v>
      </c>
      <c r="AO14" s="57">
        <f>H14*0</f>
      </c>
      <c r="AP14" s="57">
        <f>H14*(1-0)</f>
      </c>
      <c r="AQ14" s="60" t="s">
        <v>56</v>
      </c>
      <c r="AV14" s="57">
        <f>AW14+AX14</f>
      </c>
      <c r="AW14" s="57">
        <f>G14*AO14</f>
      </c>
      <c r="AX14" s="57">
        <f>G14*AP14</f>
      </c>
      <c r="AY14" s="60" t="s">
        <v>61</v>
      </c>
      <c r="AZ14" s="60" t="s">
        <v>62</v>
      </c>
      <c r="BA14" s="33" t="s">
        <v>63</v>
      </c>
      <c r="BC14" s="57">
        <f>AW14+AX14</f>
      </c>
      <c r="BD14" s="57">
        <f>H14/(100-BE14)*100</f>
      </c>
      <c r="BE14" s="57" t="n">
        <v>0</v>
      </c>
      <c r="BF14" s="57">
        <f>14</f>
      </c>
      <c r="BH14" s="57">
        <f>G14*AO14</f>
      </c>
      <c r="BI14" s="57">
        <f>G14*AP14</f>
      </c>
      <c r="BJ14" s="57">
        <f>G14*H14</f>
      </c>
      <c r="BK14" s="57"/>
      <c r="BL14" s="57" t="n">
        <v>11</v>
      </c>
      <c r="BW14" s="57" t="n">
        <v>21</v>
      </c>
      <c r="BX14" s="16" t="s">
        <v>58</v>
      </c>
    </row>
    <row r="15">
      <c r="A15" s="61"/>
      <c r="D15" s="62" t="s">
        <v>64</v>
      </c>
      <c r="E15" s="63" t="s">
        <v>51</v>
      </c>
      <c r="G15" s="64" t="n">
        <v>220</v>
      </c>
      <c r="L15" s="65"/>
    </row>
    <row r="16">
      <c r="A16" s="10" t="s">
        <v>65</v>
      </c>
      <c r="B16" s="11" t="s">
        <v>52</v>
      </c>
      <c r="C16" s="11" t="s">
        <v>66</v>
      </c>
      <c r="D16" s="16" t="s">
        <v>67</v>
      </c>
      <c r="E16" s="11"/>
      <c r="F16" s="11" t="s">
        <v>68</v>
      </c>
      <c r="G16" s="57" t="n">
        <v>28</v>
      </c>
      <c r="H16" s="58" t="n">
        <v>0</v>
      </c>
      <c r="I16" s="57">
        <f>G16*AO16</f>
      </c>
      <c r="J16" s="57">
        <f>G16*AP16</f>
      </c>
      <c r="K16" s="57">
        <f>G16*H16</f>
      </c>
      <c r="L16" s="59" t="s">
        <v>60</v>
      </c>
      <c r="Z16" s="57">
        <f>IF(AQ16="5",BJ16,0)</f>
      </c>
      <c r="AB16" s="57">
        <f>IF(AQ16="1",BH16,0)</f>
      </c>
      <c r="AC16" s="57">
        <f>IF(AQ16="1",BI16,0)</f>
      </c>
      <c r="AD16" s="57">
        <f>IF(AQ16="7",BH16,0)</f>
      </c>
      <c r="AE16" s="57">
        <f>IF(AQ16="7",BI16,0)</f>
      </c>
      <c r="AF16" s="57">
        <f>IF(AQ16="2",BH16,0)</f>
      </c>
      <c r="AG16" s="57">
        <f>IF(AQ16="2",BI16,0)</f>
      </c>
      <c r="AH16" s="57">
        <f>IF(AQ16="0",BJ16,0)</f>
      </c>
      <c r="AI16" s="33" t="s">
        <v>52</v>
      </c>
      <c r="AJ16" s="57">
        <f>IF(AN16=0,K16,0)</f>
      </c>
      <c r="AK16" s="57">
        <f>IF(AN16=12,K16,0)</f>
      </c>
      <c r="AL16" s="57">
        <f>IF(AN16=21,K16,0)</f>
      </c>
      <c r="AN16" s="57" t="n">
        <v>21</v>
      </c>
      <c r="AO16" s="57">
        <f>H16*0</f>
      </c>
      <c r="AP16" s="57">
        <f>H16*(1-0)</f>
      </c>
      <c r="AQ16" s="60" t="s">
        <v>56</v>
      </c>
      <c r="AV16" s="57">
        <f>AW16+AX16</f>
      </c>
      <c r="AW16" s="57">
        <f>G16*AO16</f>
      </c>
      <c r="AX16" s="57">
        <f>G16*AP16</f>
      </c>
      <c r="AY16" s="60" t="s">
        <v>61</v>
      </c>
      <c r="AZ16" s="60" t="s">
        <v>62</v>
      </c>
      <c r="BA16" s="33" t="s">
        <v>63</v>
      </c>
      <c r="BC16" s="57">
        <f>AW16+AX16</f>
      </c>
      <c r="BD16" s="57">
        <f>H16/(100-BE16)*100</f>
      </c>
      <c r="BE16" s="57" t="n">
        <v>0</v>
      </c>
      <c r="BF16" s="57">
        <f>16</f>
      </c>
      <c r="BH16" s="57">
        <f>G16*AO16</f>
      </c>
      <c r="BI16" s="57">
        <f>G16*AP16</f>
      </c>
      <c r="BJ16" s="57">
        <f>G16*H16</f>
      </c>
      <c r="BK16" s="57"/>
      <c r="BL16" s="57" t="n">
        <v>11</v>
      </c>
      <c r="BW16" s="57" t="n">
        <v>21</v>
      </c>
      <c r="BX16" s="16" t="s">
        <v>67</v>
      </c>
    </row>
    <row r="17" customHeight="true" ht="13.5">
      <c r="A17" s="61"/>
      <c r="C17" s="66" t="s">
        <v>69</v>
      </c>
      <c r="D17" s="67" t="s">
        <v>70</v>
      </c>
      <c r="E17" s="68"/>
      <c r="F17" s="68"/>
      <c r="G17" s="68"/>
      <c r="H17" s="69"/>
      <c r="I17" s="68"/>
      <c r="J17" s="68"/>
      <c r="K17" s="68"/>
      <c r="L17" s="70"/>
    </row>
    <row r="18">
      <c r="A18" s="61"/>
      <c r="D18" s="62" t="s">
        <v>71</v>
      </c>
      <c r="E18" s="63" t="s">
        <v>51</v>
      </c>
      <c r="G18" s="64" t="n">
        <v>28</v>
      </c>
      <c r="L18" s="65"/>
    </row>
    <row r="19">
      <c r="A19" s="51" t="s">
        <v>51</v>
      </c>
      <c r="B19" s="52" t="s">
        <v>52</v>
      </c>
      <c r="C19" s="52" t="s">
        <v>72</v>
      </c>
      <c r="D19" s="53" t="s">
        <v>73</v>
      </c>
      <c r="E19" s="52"/>
      <c r="F19" s="54" t="s">
        <v>4</v>
      </c>
      <c r="G19" s="54" t="s">
        <v>4</v>
      </c>
      <c r="H19" s="55" t="s">
        <v>4</v>
      </c>
      <c r="I19" s="2">
        <f>SUM(I20:I20)</f>
      </c>
      <c r="J19" s="2">
        <f>SUM(J20:J20)</f>
      </c>
      <c r="K19" s="2">
        <f>SUM(K20:K20)</f>
      </c>
      <c r="L19" s="56" t="s">
        <v>51</v>
      </c>
      <c r="AI19" s="33" t="s">
        <v>52</v>
      </c>
      <c r="AS19" s="2">
        <f>SUM(AJ20:AJ20)</f>
      </c>
      <c r="AT19" s="2">
        <f>SUM(AK20:AK20)</f>
      </c>
      <c r="AU19" s="2">
        <f>SUM(AL20:AL20)</f>
      </c>
    </row>
    <row r="20">
      <c r="A20" s="10" t="s">
        <v>74</v>
      </c>
      <c r="B20" s="11" t="s">
        <v>52</v>
      </c>
      <c r="C20" s="11" t="s">
        <v>75</v>
      </c>
      <c r="D20" s="16" t="s">
        <v>76</v>
      </c>
      <c r="E20" s="11"/>
      <c r="F20" s="11" t="s">
        <v>77</v>
      </c>
      <c r="G20" s="57" t="n">
        <v>4.5</v>
      </c>
      <c r="H20" s="58" t="n">
        <v>0</v>
      </c>
      <c r="I20" s="57">
        <f>G20*AO20</f>
      </c>
      <c r="J20" s="57">
        <f>G20*AP20</f>
      </c>
      <c r="K20" s="57">
        <f>G20*H20</f>
      </c>
      <c r="L20" s="59" t="s">
        <v>60</v>
      </c>
      <c r="Z20" s="57">
        <f>IF(AQ20="5",BJ20,0)</f>
      </c>
      <c r="AB20" s="57">
        <f>IF(AQ20="1",BH20,0)</f>
      </c>
      <c r="AC20" s="57">
        <f>IF(AQ20="1",BI20,0)</f>
      </c>
      <c r="AD20" s="57">
        <f>IF(AQ20="7",BH20,0)</f>
      </c>
      <c r="AE20" s="57">
        <f>IF(AQ20="7",BI20,0)</f>
      </c>
      <c r="AF20" s="57">
        <f>IF(AQ20="2",BH20,0)</f>
      </c>
      <c r="AG20" s="57">
        <f>IF(AQ20="2",BI20,0)</f>
      </c>
      <c r="AH20" s="57">
        <f>IF(AQ20="0",BJ20,0)</f>
      </c>
      <c r="AI20" s="33" t="s">
        <v>52</v>
      </c>
      <c r="AJ20" s="57">
        <f>IF(AN20=0,K20,0)</f>
      </c>
      <c r="AK20" s="57">
        <f>IF(AN20=12,K20,0)</f>
      </c>
      <c r="AL20" s="57">
        <f>IF(AN20=21,K20,0)</f>
      </c>
      <c r="AN20" s="57" t="n">
        <v>21</v>
      </c>
      <c r="AO20" s="57">
        <f>H20*0</f>
      </c>
      <c r="AP20" s="57">
        <f>H20*(1-0)</f>
      </c>
      <c r="AQ20" s="60" t="s">
        <v>56</v>
      </c>
      <c r="AV20" s="57">
        <f>AW20+AX20</f>
      </c>
      <c r="AW20" s="57">
        <f>G20*AO20</f>
      </c>
      <c r="AX20" s="57">
        <f>G20*AP20</f>
      </c>
      <c r="AY20" s="60" t="s">
        <v>78</v>
      </c>
      <c r="AZ20" s="60" t="s">
        <v>62</v>
      </c>
      <c r="BA20" s="33" t="s">
        <v>63</v>
      </c>
      <c r="BC20" s="57">
        <f>AW20+AX20</f>
      </c>
      <c r="BD20" s="57">
        <f>H20/(100-BE20)*100</f>
      </c>
      <c r="BE20" s="57" t="n">
        <v>0</v>
      </c>
      <c r="BF20" s="57">
        <f>20</f>
      </c>
      <c r="BH20" s="57">
        <f>G20*AO20</f>
      </c>
      <c r="BI20" s="57">
        <f>G20*AP20</f>
      </c>
      <c r="BJ20" s="57">
        <f>G20*H20</f>
      </c>
      <c r="BK20" s="57"/>
      <c r="BL20" s="57" t="n">
        <v>12</v>
      </c>
      <c r="BW20" s="57" t="n">
        <v>21</v>
      </c>
      <c r="BX20" s="16" t="s">
        <v>76</v>
      </c>
    </row>
    <row r="21">
      <c r="A21" s="61"/>
      <c r="D21" s="62" t="s">
        <v>79</v>
      </c>
      <c r="E21" s="63" t="s">
        <v>51</v>
      </c>
      <c r="G21" s="64" t="n">
        <v>4.5</v>
      </c>
      <c r="L21" s="65"/>
    </row>
    <row r="22">
      <c r="A22" s="51" t="s">
        <v>51</v>
      </c>
      <c r="B22" s="52" t="s">
        <v>52</v>
      </c>
      <c r="C22" s="52" t="s">
        <v>80</v>
      </c>
      <c r="D22" s="53" t="s">
        <v>81</v>
      </c>
      <c r="E22" s="52"/>
      <c r="F22" s="54" t="s">
        <v>4</v>
      </c>
      <c r="G22" s="54" t="s">
        <v>4</v>
      </c>
      <c r="H22" s="55" t="s">
        <v>4</v>
      </c>
      <c r="I22" s="2">
        <f>SUM(I23:I28)</f>
      </c>
      <c r="J22" s="2">
        <f>SUM(J23:J28)</f>
      </c>
      <c r="K22" s="2">
        <f>SUM(K23:K28)</f>
      </c>
      <c r="L22" s="56" t="s">
        <v>51</v>
      </c>
      <c r="AI22" s="33" t="s">
        <v>52</v>
      </c>
      <c r="AS22" s="2">
        <f>SUM(AJ23:AJ28)</f>
      </c>
      <c r="AT22" s="2">
        <f>SUM(AK23:AK28)</f>
      </c>
      <c r="AU22" s="2">
        <f>SUM(AL23:AL28)</f>
      </c>
    </row>
    <row r="23">
      <c r="A23" s="10" t="s">
        <v>82</v>
      </c>
      <c r="B23" s="11" t="s">
        <v>52</v>
      </c>
      <c r="C23" s="11" t="s">
        <v>83</v>
      </c>
      <c r="D23" s="16" t="s">
        <v>84</v>
      </c>
      <c r="E23" s="11"/>
      <c r="F23" s="11" t="s">
        <v>77</v>
      </c>
      <c r="G23" s="57" t="n">
        <v>15</v>
      </c>
      <c r="H23" s="58" t="n">
        <v>0</v>
      </c>
      <c r="I23" s="57">
        <f>G23*AO23</f>
      </c>
      <c r="J23" s="57">
        <f>G23*AP23</f>
      </c>
      <c r="K23" s="57">
        <f>G23*H23</f>
      </c>
      <c r="L23" s="59" t="s">
        <v>60</v>
      </c>
      <c r="Z23" s="57">
        <f>IF(AQ23="5",BJ23,0)</f>
      </c>
      <c r="AB23" s="57">
        <f>IF(AQ23="1",BH23,0)</f>
      </c>
      <c r="AC23" s="57">
        <f>IF(AQ23="1",BI23,0)</f>
      </c>
      <c r="AD23" s="57">
        <f>IF(AQ23="7",BH23,0)</f>
      </c>
      <c r="AE23" s="57">
        <f>IF(AQ23="7",BI23,0)</f>
      </c>
      <c r="AF23" s="57">
        <f>IF(AQ23="2",BH23,0)</f>
      </c>
      <c r="AG23" s="57">
        <f>IF(AQ23="2",BI23,0)</f>
      </c>
      <c r="AH23" s="57">
        <f>IF(AQ23="0",BJ23,0)</f>
      </c>
      <c r="AI23" s="33" t="s">
        <v>52</v>
      </c>
      <c r="AJ23" s="57">
        <f>IF(AN23=0,K23,0)</f>
      </c>
      <c r="AK23" s="57">
        <f>IF(AN23=12,K23,0)</f>
      </c>
      <c r="AL23" s="57">
        <f>IF(AN23=21,K23,0)</f>
      </c>
      <c r="AN23" s="57" t="n">
        <v>21</v>
      </c>
      <c r="AO23" s="57">
        <f>H23*0</f>
      </c>
      <c r="AP23" s="57">
        <f>H23*(1-0)</f>
      </c>
      <c r="AQ23" s="60" t="s">
        <v>56</v>
      </c>
      <c r="AV23" s="57">
        <f>AW23+AX23</f>
      </c>
      <c r="AW23" s="57">
        <f>G23*AO23</f>
      </c>
      <c r="AX23" s="57">
        <f>G23*AP23</f>
      </c>
      <c r="AY23" s="60" t="s">
        <v>85</v>
      </c>
      <c r="AZ23" s="60" t="s">
        <v>62</v>
      </c>
      <c r="BA23" s="33" t="s">
        <v>63</v>
      </c>
      <c r="BC23" s="57">
        <f>AW23+AX23</f>
      </c>
      <c r="BD23" s="57">
        <f>H23/(100-BE23)*100</f>
      </c>
      <c r="BE23" s="57" t="n">
        <v>0</v>
      </c>
      <c r="BF23" s="57">
        <f>23</f>
      </c>
      <c r="BH23" s="57">
        <f>G23*AO23</f>
      </c>
      <c r="BI23" s="57">
        <f>G23*AP23</f>
      </c>
      <c r="BJ23" s="57">
        <f>G23*H23</f>
      </c>
      <c r="BK23" s="57"/>
      <c r="BL23" s="57" t="n">
        <v>16</v>
      </c>
      <c r="BW23" s="57" t="n">
        <v>21</v>
      </c>
      <c r="BX23" s="16" t="s">
        <v>84</v>
      </c>
    </row>
    <row r="24">
      <c r="A24" s="61"/>
      <c r="D24" s="62" t="s">
        <v>86</v>
      </c>
      <c r="E24" s="63" t="s">
        <v>51</v>
      </c>
      <c r="G24" s="64" t="n">
        <v>15</v>
      </c>
      <c r="L24" s="65"/>
    </row>
    <row r="25" customHeight="true" ht="13.5">
      <c r="A25" s="61"/>
      <c r="C25" s="71" t="s">
        <v>87</v>
      </c>
      <c r="D25" s="72" t="s">
        <v>88</v>
      </c>
      <c r="E25" s="73"/>
      <c r="F25" s="73"/>
      <c r="G25" s="73"/>
      <c r="H25" s="74"/>
      <c r="I25" s="73"/>
      <c r="J25" s="73"/>
      <c r="K25" s="73"/>
      <c r="L25" s="75"/>
    </row>
    <row r="26">
      <c r="A26" s="10" t="s">
        <v>89</v>
      </c>
      <c r="B26" s="11" t="s">
        <v>52</v>
      </c>
      <c r="C26" s="11" t="s">
        <v>90</v>
      </c>
      <c r="D26" s="16" t="s">
        <v>91</v>
      </c>
      <c r="E26" s="11"/>
      <c r="F26" s="11" t="s">
        <v>77</v>
      </c>
      <c r="G26" s="57" t="n">
        <v>75</v>
      </c>
      <c r="H26" s="58" t="n">
        <v>0</v>
      </c>
      <c r="I26" s="57">
        <f>G26*AO26</f>
      </c>
      <c r="J26" s="57">
        <f>G26*AP26</f>
      </c>
      <c r="K26" s="57">
        <f>G26*H26</f>
      </c>
      <c r="L26" s="59" t="s">
        <v>60</v>
      </c>
      <c r="Z26" s="57">
        <f>IF(AQ26="5",BJ26,0)</f>
      </c>
      <c r="AB26" s="57">
        <f>IF(AQ26="1",BH26,0)</f>
      </c>
      <c r="AC26" s="57">
        <f>IF(AQ26="1",BI26,0)</f>
      </c>
      <c r="AD26" s="57">
        <f>IF(AQ26="7",BH26,0)</f>
      </c>
      <c r="AE26" s="57">
        <f>IF(AQ26="7",BI26,0)</f>
      </c>
      <c r="AF26" s="57">
        <f>IF(AQ26="2",BH26,0)</f>
      </c>
      <c r="AG26" s="57">
        <f>IF(AQ26="2",BI26,0)</f>
      </c>
      <c r="AH26" s="57">
        <f>IF(AQ26="0",BJ26,0)</f>
      </c>
      <c r="AI26" s="33" t="s">
        <v>52</v>
      </c>
      <c r="AJ26" s="57">
        <f>IF(AN26=0,K26,0)</f>
      </c>
      <c r="AK26" s="57">
        <f>IF(AN26=12,K26,0)</f>
      </c>
      <c r="AL26" s="57">
        <f>IF(AN26=21,K26,0)</f>
      </c>
      <c r="AN26" s="57" t="n">
        <v>21</v>
      </c>
      <c r="AO26" s="57">
        <f>H26*0</f>
      </c>
      <c r="AP26" s="57">
        <f>H26*(1-0)</f>
      </c>
      <c r="AQ26" s="60" t="s">
        <v>56</v>
      </c>
      <c r="AV26" s="57">
        <f>AW26+AX26</f>
      </c>
      <c r="AW26" s="57">
        <f>G26*AO26</f>
      </c>
      <c r="AX26" s="57">
        <f>G26*AP26</f>
      </c>
      <c r="AY26" s="60" t="s">
        <v>85</v>
      </c>
      <c r="AZ26" s="60" t="s">
        <v>62</v>
      </c>
      <c r="BA26" s="33" t="s">
        <v>63</v>
      </c>
      <c r="BC26" s="57">
        <f>AW26+AX26</f>
      </c>
      <c r="BD26" s="57">
        <f>H26/(100-BE26)*100</f>
      </c>
      <c r="BE26" s="57" t="n">
        <v>0</v>
      </c>
      <c r="BF26" s="57">
        <f>26</f>
      </c>
      <c r="BH26" s="57">
        <f>G26*AO26</f>
      </c>
      <c r="BI26" s="57">
        <f>G26*AP26</f>
      </c>
      <c r="BJ26" s="57">
        <f>G26*H26</f>
      </c>
      <c r="BK26" s="57"/>
      <c r="BL26" s="57" t="n">
        <v>16</v>
      </c>
      <c r="BW26" s="57" t="n">
        <v>21</v>
      </c>
      <c r="BX26" s="16" t="s">
        <v>91</v>
      </c>
    </row>
    <row r="27">
      <c r="A27" s="61"/>
      <c r="D27" s="62" t="s">
        <v>92</v>
      </c>
      <c r="E27" s="63" t="s">
        <v>51</v>
      </c>
      <c r="G27" s="64" t="n">
        <v>75</v>
      </c>
      <c r="L27" s="65"/>
    </row>
    <row r="28">
      <c r="A28" s="10" t="s">
        <v>93</v>
      </c>
      <c r="B28" s="11" t="s">
        <v>52</v>
      </c>
      <c r="C28" s="11" t="s">
        <v>94</v>
      </c>
      <c r="D28" s="16" t="s">
        <v>95</v>
      </c>
      <c r="E28" s="11"/>
      <c r="F28" s="11" t="s">
        <v>77</v>
      </c>
      <c r="G28" s="57" t="n">
        <v>15</v>
      </c>
      <c r="H28" s="58" t="n">
        <v>0</v>
      </c>
      <c r="I28" s="57">
        <f>G28*AO28</f>
      </c>
      <c r="J28" s="57">
        <f>G28*AP28</f>
      </c>
      <c r="K28" s="57">
        <f>G28*H28</f>
      </c>
      <c r="L28" s="59" t="s">
        <v>60</v>
      </c>
      <c r="Z28" s="57">
        <f>IF(AQ28="5",BJ28,0)</f>
      </c>
      <c r="AB28" s="57">
        <f>IF(AQ28="1",BH28,0)</f>
      </c>
      <c r="AC28" s="57">
        <f>IF(AQ28="1",BI28,0)</f>
      </c>
      <c r="AD28" s="57">
        <f>IF(AQ28="7",BH28,0)</f>
      </c>
      <c r="AE28" s="57">
        <f>IF(AQ28="7",BI28,0)</f>
      </c>
      <c r="AF28" s="57">
        <f>IF(AQ28="2",BH28,0)</f>
      </c>
      <c r="AG28" s="57">
        <f>IF(AQ28="2",BI28,0)</f>
      </c>
      <c r="AH28" s="57">
        <f>IF(AQ28="0",BJ28,0)</f>
      </c>
      <c r="AI28" s="33" t="s">
        <v>52</v>
      </c>
      <c r="AJ28" s="57">
        <f>IF(AN28=0,K28,0)</f>
      </c>
      <c r="AK28" s="57">
        <f>IF(AN28=12,K28,0)</f>
      </c>
      <c r="AL28" s="57">
        <f>IF(AN28=21,K28,0)</f>
      </c>
      <c r="AN28" s="57" t="n">
        <v>21</v>
      </c>
      <c r="AO28" s="57">
        <f>H28*0</f>
      </c>
      <c r="AP28" s="57">
        <f>H28*(1-0)</f>
      </c>
      <c r="AQ28" s="60" t="s">
        <v>56</v>
      </c>
      <c r="AV28" s="57">
        <f>AW28+AX28</f>
      </c>
      <c r="AW28" s="57">
        <f>G28*AO28</f>
      </c>
      <c r="AX28" s="57">
        <f>G28*AP28</f>
      </c>
      <c r="AY28" s="60" t="s">
        <v>85</v>
      </c>
      <c r="AZ28" s="60" t="s">
        <v>62</v>
      </c>
      <c r="BA28" s="33" t="s">
        <v>63</v>
      </c>
      <c r="BC28" s="57">
        <f>AW28+AX28</f>
      </c>
      <c r="BD28" s="57">
        <f>H28/(100-BE28)*100</f>
      </c>
      <c r="BE28" s="57" t="n">
        <v>0</v>
      </c>
      <c r="BF28" s="57">
        <f>28</f>
      </c>
      <c r="BH28" s="57">
        <f>G28*AO28</f>
      </c>
      <c r="BI28" s="57">
        <f>G28*AP28</f>
      </c>
      <c r="BJ28" s="57">
        <f>G28*H28</f>
      </c>
      <c r="BK28" s="57"/>
      <c r="BL28" s="57" t="n">
        <v>16</v>
      </c>
      <c r="BW28" s="57" t="n">
        <v>21</v>
      </c>
      <c r="BX28" s="16" t="s">
        <v>95</v>
      </c>
    </row>
    <row r="29">
      <c r="A29" s="61"/>
      <c r="D29" s="62" t="s">
        <v>96</v>
      </c>
      <c r="E29" s="63" t="s">
        <v>51</v>
      </c>
      <c r="G29" s="64" t="n">
        <v>15</v>
      </c>
      <c r="L29" s="65"/>
    </row>
    <row r="30">
      <c r="A30" s="51" t="s">
        <v>51</v>
      </c>
      <c r="B30" s="52" t="s">
        <v>52</v>
      </c>
      <c r="C30" s="52" t="s">
        <v>97</v>
      </c>
      <c r="D30" s="53" t="s">
        <v>98</v>
      </c>
      <c r="E30" s="52"/>
      <c r="F30" s="54" t="s">
        <v>4</v>
      </c>
      <c r="G30" s="54" t="s">
        <v>4</v>
      </c>
      <c r="H30" s="55" t="s">
        <v>4</v>
      </c>
      <c r="I30" s="2">
        <f>SUM(I31:I35)</f>
      </c>
      <c r="J30" s="2">
        <f>SUM(J31:J35)</f>
      </c>
      <c r="K30" s="2">
        <f>SUM(K31:K35)</f>
      </c>
      <c r="L30" s="56" t="s">
        <v>51</v>
      </c>
      <c r="AI30" s="33" t="s">
        <v>52</v>
      </c>
      <c r="AS30" s="2">
        <f>SUM(AJ31:AJ35)</f>
      </c>
      <c r="AT30" s="2">
        <f>SUM(AK31:AK35)</f>
      </c>
      <c r="AU30" s="2">
        <f>SUM(AL31:AL35)</f>
      </c>
    </row>
    <row r="31">
      <c r="A31" s="10" t="s">
        <v>99</v>
      </c>
      <c r="B31" s="11" t="s">
        <v>52</v>
      </c>
      <c r="C31" s="11" t="s">
        <v>100</v>
      </c>
      <c r="D31" s="16" t="s">
        <v>101</v>
      </c>
      <c r="E31" s="11"/>
      <c r="F31" s="11" t="s">
        <v>77</v>
      </c>
      <c r="G31" s="57" t="n">
        <v>7.5</v>
      </c>
      <c r="H31" s="58" t="n">
        <v>0</v>
      </c>
      <c r="I31" s="57">
        <f>G31*AO31</f>
      </c>
      <c r="J31" s="57">
        <f>G31*AP31</f>
      </c>
      <c r="K31" s="57">
        <f>G31*H31</f>
      </c>
      <c r="L31" s="59" t="s">
        <v>60</v>
      </c>
      <c r="Z31" s="57">
        <f>IF(AQ31="5",BJ31,0)</f>
      </c>
      <c r="AB31" s="57">
        <f>IF(AQ31="1",BH31,0)</f>
      </c>
      <c r="AC31" s="57">
        <f>IF(AQ31="1",BI31,0)</f>
      </c>
      <c r="AD31" s="57">
        <f>IF(AQ31="7",BH31,0)</f>
      </c>
      <c r="AE31" s="57">
        <f>IF(AQ31="7",BI31,0)</f>
      </c>
      <c r="AF31" s="57">
        <f>IF(AQ31="2",BH31,0)</f>
      </c>
      <c r="AG31" s="57">
        <f>IF(AQ31="2",BI31,0)</f>
      </c>
      <c r="AH31" s="57">
        <f>IF(AQ31="0",BJ31,0)</f>
      </c>
      <c r="AI31" s="33" t="s">
        <v>52</v>
      </c>
      <c r="AJ31" s="57">
        <f>IF(AN31=0,K31,0)</f>
      </c>
      <c r="AK31" s="57">
        <f>IF(AN31=12,K31,0)</f>
      </c>
      <c r="AL31" s="57">
        <f>IF(AN31=21,K31,0)</f>
      </c>
      <c r="AN31" s="57" t="n">
        <v>21</v>
      </c>
      <c r="AO31" s="57">
        <f>H31*0</f>
      </c>
      <c r="AP31" s="57">
        <f>H31*(1-0)</f>
      </c>
      <c r="AQ31" s="60" t="s">
        <v>56</v>
      </c>
      <c r="AV31" s="57">
        <f>AW31+AX31</f>
      </c>
      <c r="AW31" s="57">
        <f>G31*AO31</f>
      </c>
      <c r="AX31" s="57">
        <f>G31*AP31</f>
      </c>
      <c r="AY31" s="60" t="s">
        <v>102</v>
      </c>
      <c r="AZ31" s="60" t="s">
        <v>62</v>
      </c>
      <c r="BA31" s="33" t="s">
        <v>63</v>
      </c>
      <c r="BC31" s="57">
        <f>AW31+AX31</f>
      </c>
      <c r="BD31" s="57">
        <f>H31/(100-BE31)*100</f>
      </c>
      <c r="BE31" s="57" t="n">
        <v>0</v>
      </c>
      <c r="BF31" s="57">
        <f>31</f>
      </c>
      <c r="BH31" s="57">
        <f>G31*AO31</f>
      </c>
      <c r="BI31" s="57">
        <f>G31*AP31</f>
      </c>
      <c r="BJ31" s="57">
        <f>G31*H31</f>
      </c>
      <c r="BK31" s="57"/>
      <c r="BL31" s="57" t="n">
        <v>17</v>
      </c>
      <c r="BW31" s="57" t="n">
        <v>21</v>
      </c>
      <c r="BX31" s="16" t="s">
        <v>101</v>
      </c>
    </row>
    <row r="32" customHeight="true" ht="13.5">
      <c r="A32" s="61"/>
      <c r="C32" s="66" t="s">
        <v>69</v>
      </c>
      <c r="D32" s="67" t="s">
        <v>103</v>
      </c>
      <c r="E32" s="68"/>
      <c r="F32" s="68"/>
      <c r="G32" s="68"/>
      <c r="H32" s="69"/>
      <c r="I32" s="68"/>
      <c r="J32" s="68"/>
      <c r="K32" s="68"/>
      <c r="L32" s="70"/>
    </row>
    <row r="33">
      <c r="A33" s="61"/>
      <c r="D33" s="62" t="s">
        <v>104</v>
      </c>
      <c r="E33" s="63" t="s">
        <v>51</v>
      </c>
      <c r="G33" s="64" t="n">
        <v>7.5</v>
      </c>
      <c r="L33" s="65"/>
    </row>
    <row r="34" customHeight="true" ht="13.5">
      <c r="A34" s="61"/>
      <c r="C34" s="71" t="s">
        <v>87</v>
      </c>
      <c r="D34" s="72" t="s">
        <v>105</v>
      </c>
      <c r="E34" s="73"/>
      <c r="F34" s="73"/>
      <c r="G34" s="73"/>
      <c r="H34" s="74"/>
      <c r="I34" s="73"/>
      <c r="J34" s="73"/>
      <c r="K34" s="73"/>
      <c r="L34" s="75"/>
    </row>
    <row r="35">
      <c r="A35" s="10" t="s">
        <v>106</v>
      </c>
      <c r="B35" s="11" t="s">
        <v>52</v>
      </c>
      <c r="C35" s="11" t="s">
        <v>107</v>
      </c>
      <c r="D35" s="16" t="s">
        <v>108</v>
      </c>
      <c r="E35" s="11"/>
      <c r="F35" s="11" t="s">
        <v>77</v>
      </c>
      <c r="G35" s="57" t="n">
        <v>1.62</v>
      </c>
      <c r="H35" s="58" t="n">
        <v>0</v>
      </c>
      <c r="I35" s="57">
        <f>G35*AO35</f>
      </c>
      <c r="J35" s="57">
        <f>G35*AP35</f>
      </c>
      <c r="K35" s="57">
        <f>G35*H35</f>
      </c>
      <c r="L35" s="59" t="s">
        <v>60</v>
      </c>
      <c r="Z35" s="57">
        <f>IF(AQ35="5",BJ35,0)</f>
      </c>
      <c r="AB35" s="57">
        <f>IF(AQ35="1",BH35,0)</f>
      </c>
      <c r="AC35" s="57">
        <f>IF(AQ35="1",BI35,0)</f>
      </c>
      <c r="AD35" s="57">
        <f>IF(AQ35="7",BH35,0)</f>
      </c>
      <c r="AE35" s="57">
        <f>IF(AQ35="7",BI35,0)</f>
      </c>
      <c r="AF35" s="57">
        <f>IF(AQ35="2",BH35,0)</f>
      </c>
      <c r="AG35" s="57">
        <f>IF(AQ35="2",BI35,0)</f>
      </c>
      <c r="AH35" s="57">
        <f>IF(AQ35="0",BJ35,0)</f>
      </c>
      <c r="AI35" s="33" t="s">
        <v>52</v>
      </c>
      <c r="AJ35" s="57">
        <f>IF(AN35=0,K35,0)</f>
      </c>
      <c r="AK35" s="57">
        <f>IF(AN35=12,K35,0)</f>
      </c>
      <c r="AL35" s="57">
        <f>IF(AN35=21,K35,0)</f>
      </c>
      <c r="AN35" s="57" t="n">
        <v>21</v>
      </c>
      <c r="AO35" s="57">
        <f>H35*0</f>
      </c>
      <c r="AP35" s="57">
        <f>H35*(1-0)</f>
      </c>
      <c r="AQ35" s="60" t="s">
        <v>56</v>
      </c>
      <c r="AV35" s="57">
        <f>AW35+AX35</f>
      </c>
      <c r="AW35" s="57">
        <f>G35*AO35</f>
      </c>
      <c r="AX35" s="57">
        <f>G35*AP35</f>
      </c>
      <c r="AY35" s="60" t="s">
        <v>102</v>
      </c>
      <c r="AZ35" s="60" t="s">
        <v>62</v>
      </c>
      <c r="BA35" s="33" t="s">
        <v>63</v>
      </c>
      <c r="BC35" s="57">
        <f>AW35+AX35</f>
      </c>
      <c r="BD35" s="57">
        <f>H35/(100-BE35)*100</f>
      </c>
      <c r="BE35" s="57" t="n">
        <v>0</v>
      </c>
      <c r="BF35" s="57">
        <f>35</f>
      </c>
      <c r="BH35" s="57">
        <f>G35*AO35</f>
      </c>
      <c r="BI35" s="57">
        <f>G35*AP35</f>
      </c>
      <c r="BJ35" s="57">
        <f>G35*H35</f>
      </c>
      <c r="BK35" s="57"/>
      <c r="BL35" s="57" t="n">
        <v>17</v>
      </c>
      <c r="BW35" s="57" t="n">
        <v>21</v>
      </c>
      <c r="BX35" s="16" t="s">
        <v>108</v>
      </c>
    </row>
    <row r="36" customHeight="true" ht="13.5">
      <c r="A36" s="61"/>
      <c r="C36" s="66" t="s">
        <v>69</v>
      </c>
      <c r="D36" s="67" t="s">
        <v>109</v>
      </c>
      <c r="E36" s="68"/>
      <c r="F36" s="68"/>
      <c r="G36" s="68"/>
      <c r="H36" s="69"/>
      <c r="I36" s="68"/>
      <c r="J36" s="68"/>
      <c r="K36" s="68"/>
      <c r="L36" s="70"/>
    </row>
    <row r="37">
      <c r="A37" s="61"/>
      <c r="D37" s="62" t="s">
        <v>110</v>
      </c>
      <c r="E37" s="63" t="s">
        <v>51</v>
      </c>
      <c r="G37" s="64" t="n">
        <v>1.62</v>
      </c>
      <c r="L37" s="65"/>
    </row>
    <row r="38">
      <c r="A38" s="51" t="s">
        <v>51</v>
      </c>
      <c r="B38" s="52" t="s">
        <v>52</v>
      </c>
      <c r="C38" s="52" t="s">
        <v>111</v>
      </c>
      <c r="D38" s="53" t="s">
        <v>112</v>
      </c>
      <c r="E38" s="52"/>
      <c r="F38" s="54" t="s">
        <v>4</v>
      </c>
      <c r="G38" s="54" t="s">
        <v>4</v>
      </c>
      <c r="H38" s="55" t="s">
        <v>4</v>
      </c>
      <c r="I38" s="2">
        <f>SUM(I39:I43)</f>
      </c>
      <c r="J38" s="2">
        <f>SUM(J39:J43)</f>
      </c>
      <c r="K38" s="2">
        <f>SUM(K39:K43)</f>
      </c>
      <c r="L38" s="56" t="s">
        <v>51</v>
      </c>
      <c r="AI38" s="33" t="s">
        <v>52</v>
      </c>
      <c r="AS38" s="2">
        <f>SUM(AJ39:AJ43)</f>
      </c>
      <c r="AT38" s="2">
        <f>SUM(AK39:AK43)</f>
      </c>
      <c r="AU38" s="2">
        <f>SUM(AL39:AL43)</f>
      </c>
    </row>
    <row r="39">
      <c r="A39" s="10" t="s">
        <v>113</v>
      </c>
      <c r="B39" s="11" t="s">
        <v>52</v>
      </c>
      <c r="C39" s="11" t="s">
        <v>114</v>
      </c>
      <c r="D39" s="16" t="s">
        <v>115</v>
      </c>
      <c r="E39" s="11"/>
      <c r="F39" s="11" t="s">
        <v>59</v>
      </c>
      <c r="G39" s="57" t="n">
        <v>65</v>
      </c>
      <c r="H39" s="58" t="n">
        <v>0</v>
      </c>
      <c r="I39" s="57">
        <f>G39*AO39</f>
      </c>
      <c r="J39" s="57">
        <f>G39*AP39</f>
      </c>
      <c r="K39" s="57">
        <f>G39*H39</f>
      </c>
      <c r="L39" s="59" t="s">
        <v>60</v>
      </c>
      <c r="Z39" s="57">
        <f>IF(AQ39="5",BJ39,0)</f>
      </c>
      <c r="AB39" s="57">
        <f>IF(AQ39="1",BH39,0)</f>
      </c>
      <c r="AC39" s="57">
        <f>IF(AQ39="1",BI39,0)</f>
      </c>
      <c r="AD39" s="57">
        <f>IF(AQ39="7",BH39,0)</f>
      </c>
      <c r="AE39" s="57">
        <f>IF(AQ39="7",BI39,0)</f>
      </c>
      <c r="AF39" s="57">
        <f>IF(AQ39="2",BH39,0)</f>
      </c>
      <c r="AG39" s="57">
        <f>IF(AQ39="2",BI39,0)</f>
      </c>
      <c r="AH39" s="57">
        <f>IF(AQ39="0",BJ39,0)</f>
      </c>
      <c r="AI39" s="33" t="s">
        <v>52</v>
      </c>
      <c r="AJ39" s="57">
        <f>IF(AN39=0,K39,0)</f>
      </c>
      <c r="AK39" s="57">
        <f>IF(AN39=12,K39,0)</f>
      </c>
      <c r="AL39" s="57">
        <f>IF(AN39=21,K39,0)</f>
      </c>
      <c r="AN39" s="57" t="n">
        <v>21</v>
      </c>
      <c r="AO39" s="57">
        <f>H39*0.070439865</f>
      </c>
      <c r="AP39" s="57">
        <f>H39*(1-0.070439865)</f>
      </c>
      <c r="AQ39" s="60" t="s">
        <v>56</v>
      </c>
      <c r="AV39" s="57">
        <f>AW39+AX39</f>
      </c>
      <c r="AW39" s="57">
        <f>G39*AO39</f>
      </c>
      <c r="AX39" s="57">
        <f>G39*AP39</f>
      </c>
      <c r="AY39" s="60" t="s">
        <v>116</v>
      </c>
      <c r="AZ39" s="60" t="s">
        <v>62</v>
      </c>
      <c r="BA39" s="33" t="s">
        <v>63</v>
      </c>
      <c r="BC39" s="57">
        <f>AW39+AX39</f>
      </c>
      <c r="BD39" s="57">
        <f>H39/(100-BE39)*100</f>
      </c>
      <c r="BE39" s="57" t="n">
        <v>0</v>
      </c>
      <c r="BF39" s="57">
        <f>39</f>
      </c>
      <c r="BH39" s="57">
        <f>G39*AO39</f>
      </c>
      <c r="BI39" s="57">
        <f>G39*AP39</f>
      </c>
      <c r="BJ39" s="57">
        <f>G39*H39</f>
      </c>
      <c r="BK39" s="57"/>
      <c r="BL39" s="57" t="n">
        <v>18</v>
      </c>
      <c r="BW39" s="57" t="n">
        <v>21</v>
      </c>
      <c r="BX39" s="16" t="s">
        <v>115</v>
      </c>
    </row>
    <row r="40">
      <c r="A40" s="10" t="s">
        <v>117</v>
      </c>
      <c r="B40" s="11" t="s">
        <v>52</v>
      </c>
      <c r="C40" s="11" t="s">
        <v>118</v>
      </c>
      <c r="D40" s="16" t="s">
        <v>119</v>
      </c>
      <c r="E40" s="11"/>
      <c r="F40" s="11" t="s">
        <v>59</v>
      </c>
      <c r="G40" s="57" t="n">
        <v>50</v>
      </c>
      <c r="H40" s="58" t="n">
        <v>0</v>
      </c>
      <c r="I40" s="57">
        <f>G40*AO40</f>
      </c>
      <c r="J40" s="57">
        <f>G40*AP40</f>
      </c>
      <c r="K40" s="57">
        <f>G40*H40</f>
      </c>
      <c r="L40" s="59" t="s">
        <v>60</v>
      </c>
      <c r="Z40" s="57">
        <f>IF(AQ40="5",BJ40,0)</f>
      </c>
      <c r="AB40" s="57">
        <f>IF(AQ40="1",BH40,0)</f>
      </c>
      <c r="AC40" s="57">
        <f>IF(AQ40="1",BI40,0)</f>
      </c>
      <c r="AD40" s="57">
        <f>IF(AQ40="7",BH40,0)</f>
      </c>
      <c r="AE40" s="57">
        <f>IF(AQ40="7",BI40,0)</f>
      </c>
      <c r="AF40" s="57">
        <f>IF(AQ40="2",BH40,0)</f>
      </c>
      <c r="AG40" s="57">
        <f>IF(AQ40="2",BI40,0)</f>
      </c>
      <c r="AH40" s="57">
        <f>IF(AQ40="0",BJ40,0)</f>
      </c>
      <c r="AI40" s="33" t="s">
        <v>52</v>
      </c>
      <c r="AJ40" s="57">
        <f>IF(AN40=0,K40,0)</f>
      </c>
      <c r="AK40" s="57">
        <f>IF(AN40=12,K40,0)</f>
      </c>
      <c r="AL40" s="57">
        <f>IF(AN40=21,K40,0)</f>
      </c>
      <c r="AN40" s="57" t="n">
        <v>21</v>
      </c>
      <c r="AO40" s="57">
        <f>H40*0</f>
      </c>
      <c r="AP40" s="57">
        <f>H40*(1-0)</f>
      </c>
      <c r="AQ40" s="60" t="s">
        <v>56</v>
      </c>
      <c r="AV40" s="57">
        <f>AW40+AX40</f>
      </c>
      <c r="AW40" s="57">
        <f>G40*AO40</f>
      </c>
      <c r="AX40" s="57">
        <f>G40*AP40</f>
      </c>
      <c r="AY40" s="60" t="s">
        <v>116</v>
      </c>
      <c r="AZ40" s="60" t="s">
        <v>62</v>
      </c>
      <c r="BA40" s="33" t="s">
        <v>63</v>
      </c>
      <c r="BC40" s="57">
        <f>AW40+AX40</f>
      </c>
      <c r="BD40" s="57">
        <f>H40/(100-BE40)*100</f>
      </c>
      <c r="BE40" s="57" t="n">
        <v>0</v>
      </c>
      <c r="BF40" s="57">
        <f>40</f>
      </c>
      <c r="BH40" s="57">
        <f>G40*AO40</f>
      </c>
      <c r="BI40" s="57">
        <f>G40*AP40</f>
      </c>
      <c r="BJ40" s="57">
        <f>G40*H40</f>
      </c>
      <c r="BK40" s="57"/>
      <c r="BL40" s="57" t="n">
        <v>18</v>
      </c>
      <c r="BW40" s="57" t="n">
        <v>21</v>
      </c>
      <c r="BX40" s="16" t="s">
        <v>119</v>
      </c>
    </row>
    <row r="41">
      <c r="A41" s="10" t="s">
        <v>54</v>
      </c>
      <c r="B41" s="11" t="s">
        <v>52</v>
      </c>
      <c r="C41" s="11" t="s">
        <v>120</v>
      </c>
      <c r="D41" s="16" t="s">
        <v>121</v>
      </c>
      <c r="E41" s="11"/>
      <c r="F41" s="11" t="s">
        <v>59</v>
      </c>
      <c r="G41" s="57" t="n">
        <v>179.55</v>
      </c>
      <c r="H41" s="58" t="n">
        <v>0</v>
      </c>
      <c r="I41" s="57">
        <f>G41*AO41</f>
      </c>
      <c r="J41" s="57">
        <f>G41*AP41</f>
      </c>
      <c r="K41" s="57">
        <f>G41*H41</f>
      </c>
      <c r="L41" s="59" t="s">
        <v>60</v>
      </c>
      <c r="Z41" s="57">
        <f>IF(AQ41="5",BJ41,0)</f>
      </c>
      <c r="AB41" s="57">
        <f>IF(AQ41="1",BH41,0)</f>
      </c>
      <c r="AC41" s="57">
        <f>IF(AQ41="1",BI41,0)</f>
      </c>
      <c r="AD41" s="57">
        <f>IF(AQ41="7",BH41,0)</f>
      </c>
      <c r="AE41" s="57">
        <f>IF(AQ41="7",BI41,0)</f>
      </c>
      <c r="AF41" s="57">
        <f>IF(AQ41="2",BH41,0)</f>
      </c>
      <c r="AG41" s="57">
        <f>IF(AQ41="2",BI41,0)</f>
      </c>
      <c r="AH41" s="57">
        <f>IF(AQ41="0",BJ41,0)</f>
      </c>
      <c r="AI41" s="33" t="s">
        <v>52</v>
      </c>
      <c r="AJ41" s="57">
        <f>IF(AN41=0,K41,0)</f>
      </c>
      <c r="AK41" s="57">
        <f>IF(AN41=12,K41,0)</f>
      </c>
      <c r="AL41" s="57">
        <f>IF(AN41=21,K41,0)</f>
      </c>
      <c r="AN41" s="57" t="n">
        <v>21</v>
      </c>
      <c r="AO41" s="57">
        <f>H41*0</f>
      </c>
      <c r="AP41" s="57">
        <f>H41*(1-0)</f>
      </c>
      <c r="AQ41" s="60" t="s">
        <v>56</v>
      </c>
      <c r="AV41" s="57">
        <f>AW41+AX41</f>
      </c>
      <c r="AW41" s="57">
        <f>G41*AO41</f>
      </c>
      <c r="AX41" s="57">
        <f>G41*AP41</f>
      </c>
      <c r="AY41" s="60" t="s">
        <v>116</v>
      </c>
      <c r="AZ41" s="60" t="s">
        <v>62</v>
      </c>
      <c r="BA41" s="33" t="s">
        <v>63</v>
      </c>
      <c r="BC41" s="57">
        <f>AW41+AX41</f>
      </c>
      <c r="BD41" s="57">
        <f>H41/(100-BE41)*100</f>
      </c>
      <c r="BE41" s="57" t="n">
        <v>0</v>
      </c>
      <c r="BF41" s="57">
        <f>41</f>
      </c>
      <c r="BH41" s="57">
        <f>G41*AO41</f>
      </c>
      <c r="BI41" s="57">
        <f>G41*AP41</f>
      </c>
      <c r="BJ41" s="57">
        <f>G41*H41</f>
      </c>
      <c r="BK41" s="57"/>
      <c r="BL41" s="57" t="n">
        <v>18</v>
      </c>
      <c r="BW41" s="57" t="n">
        <v>21</v>
      </c>
      <c r="BX41" s="16" t="s">
        <v>121</v>
      </c>
    </row>
    <row r="42">
      <c r="A42" s="61"/>
      <c r="D42" s="62" t="s">
        <v>122</v>
      </c>
      <c r="E42" s="63" t="s">
        <v>51</v>
      </c>
      <c r="G42" s="64" t="n">
        <v>179.55</v>
      </c>
      <c r="L42" s="65"/>
    </row>
    <row r="43">
      <c r="A43" s="10" t="s">
        <v>72</v>
      </c>
      <c r="B43" s="11" t="s">
        <v>52</v>
      </c>
      <c r="C43" s="11" t="s">
        <v>123</v>
      </c>
      <c r="D43" s="16" t="s">
        <v>124</v>
      </c>
      <c r="E43" s="11"/>
      <c r="F43" s="11" t="s">
        <v>59</v>
      </c>
      <c r="G43" s="57" t="n">
        <v>65</v>
      </c>
      <c r="H43" s="58" t="n">
        <v>0</v>
      </c>
      <c r="I43" s="57">
        <f>G43*AO43</f>
      </c>
      <c r="J43" s="57">
        <f>G43*AP43</f>
      </c>
      <c r="K43" s="57">
        <f>G43*H43</f>
      </c>
      <c r="L43" s="59" t="s">
        <v>60</v>
      </c>
      <c r="Z43" s="57">
        <f>IF(AQ43="5",BJ43,0)</f>
      </c>
      <c r="AB43" s="57">
        <f>IF(AQ43="1",BH43,0)</f>
      </c>
      <c r="AC43" s="57">
        <f>IF(AQ43="1",BI43,0)</f>
      </c>
      <c r="AD43" s="57">
        <f>IF(AQ43="7",BH43,0)</f>
      </c>
      <c r="AE43" s="57">
        <f>IF(AQ43="7",BI43,0)</f>
      </c>
      <c r="AF43" s="57">
        <f>IF(AQ43="2",BH43,0)</f>
      </c>
      <c r="AG43" s="57">
        <f>IF(AQ43="2",BI43,0)</f>
      </c>
      <c r="AH43" s="57">
        <f>IF(AQ43="0",BJ43,0)</f>
      </c>
      <c r="AI43" s="33" t="s">
        <v>52</v>
      </c>
      <c r="AJ43" s="57">
        <f>IF(AN43=0,K43,0)</f>
      </c>
      <c r="AK43" s="57">
        <f>IF(AN43=12,K43,0)</f>
      </c>
      <c r="AL43" s="57">
        <f>IF(AN43=21,K43,0)</f>
      </c>
      <c r="AN43" s="57" t="n">
        <v>21</v>
      </c>
      <c r="AO43" s="57">
        <f>H43*0</f>
      </c>
      <c r="AP43" s="57">
        <f>H43*(1-0)</f>
      </c>
      <c r="AQ43" s="60" t="s">
        <v>56</v>
      </c>
      <c r="AV43" s="57">
        <f>AW43+AX43</f>
      </c>
      <c r="AW43" s="57">
        <f>G43*AO43</f>
      </c>
      <c r="AX43" s="57">
        <f>G43*AP43</f>
      </c>
      <c r="AY43" s="60" t="s">
        <v>116</v>
      </c>
      <c r="AZ43" s="60" t="s">
        <v>62</v>
      </c>
      <c r="BA43" s="33" t="s">
        <v>63</v>
      </c>
      <c r="BC43" s="57">
        <f>AW43+AX43</f>
      </c>
      <c r="BD43" s="57">
        <f>H43/(100-BE43)*100</f>
      </c>
      <c r="BE43" s="57" t="n">
        <v>0</v>
      </c>
      <c r="BF43" s="57">
        <f>43</f>
      </c>
      <c r="BH43" s="57">
        <f>G43*AO43</f>
      </c>
      <c r="BI43" s="57">
        <f>G43*AP43</f>
      </c>
      <c r="BJ43" s="57">
        <f>G43*H43</f>
      </c>
      <c r="BK43" s="57"/>
      <c r="BL43" s="57" t="n">
        <v>18</v>
      </c>
      <c r="BW43" s="57" t="n">
        <v>21</v>
      </c>
      <c r="BX43" s="16" t="s">
        <v>124</v>
      </c>
    </row>
    <row r="44">
      <c r="A44" s="61"/>
      <c r="D44" s="62" t="s">
        <v>125</v>
      </c>
      <c r="E44" s="63" t="s">
        <v>51</v>
      </c>
      <c r="G44" s="64" t="n">
        <v>65</v>
      </c>
      <c r="L44" s="65"/>
    </row>
    <row r="45">
      <c r="A45" s="51" t="s">
        <v>51</v>
      </c>
      <c r="B45" s="52" t="s">
        <v>52</v>
      </c>
      <c r="C45" s="52" t="s">
        <v>126</v>
      </c>
      <c r="D45" s="53" t="s">
        <v>127</v>
      </c>
      <c r="E45" s="52"/>
      <c r="F45" s="54" t="s">
        <v>4</v>
      </c>
      <c r="G45" s="54" t="s">
        <v>4</v>
      </c>
      <c r="H45" s="55" t="s">
        <v>4</v>
      </c>
      <c r="I45" s="2">
        <f>SUM(I46:I49)</f>
      </c>
      <c r="J45" s="2">
        <f>SUM(J46:J49)</f>
      </c>
      <c r="K45" s="2">
        <f>SUM(K46:K49)</f>
      </c>
      <c r="L45" s="56" t="s">
        <v>51</v>
      </c>
      <c r="AI45" s="33" t="s">
        <v>52</v>
      </c>
      <c r="AS45" s="2">
        <f>SUM(AJ46:AJ49)</f>
      </c>
      <c r="AT45" s="2">
        <f>SUM(AK46:AK49)</f>
      </c>
      <c r="AU45" s="2">
        <f>SUM(AL46:AL49)</f>
      </c>
    </row>
    <row r="46">
      <c r="A46" s="10" t="s">
        <v>128</v>
      </c>
      <c r="B46" s="11" t="s">
        <v>52</v>
      </c>
      <c r="C46" s="11" t="s">
        <v>129</v>
      </c>
      <c r="D46" s="16" t="s">
        <v>130</v>
      </c>
      <c r="E46" s="11"/>
      <c r="F46" s="11" t="s">
        <v>59</v>
      </c>
      <c r="G46" s="57" t="n">
        <v>9</v>
      </c>
      <c r="H46" s="58" t="n">
        <v>0</v>
      </c>
      <c r="I46" s="57">
        <f>G46*AO46</f>
      </c>
      <c r="J46" s="57">
        <f>G46*AP46</f>
      </c>
      <c r="K46" s="57">
        <f>G46*H46</f>
      </c>
      <c r="L46" s="59" t="s">
        <v>60</v>
      </c>
      <c r="Z46" s="57">
        <f>IF(AQ46="5",BJ46,0)</f>
      </c>
      <c r="AB46" s="57">
        <f>IF(AQ46="1",BH46,0)</f>
      </c>
      <c r="AC46" s="57">
        <f>IF(AQ46="1",BI46,0)</f>
      </c>
      <c r="AD46" s="57">
        <f>IF(AQ46="7",BH46,0)</f>
      </c>
      <c r="AE46" s="57">
        <f>IF(AQ46="7",BI46,0)</f>
      </c>
      <c r="AF46" s="57">
        <f>IF(AQ46="2",BH46,0)</f>
      </c>
      <c r="AG46" s="57">
        <f>IF(AQ46="2",BI46,0)</f>
      </c>
      <c r="AH46" s="57">
        <f>IF(AQ46="0",BJ46,0)</f>
      </c>
      <c r="AI46" s="33" t="s">
        <v>52</v>
      </c>
      <c r="AJ46" s="57">
        <f>IF(AN46=0,K46,0)</f>
      </c>
      <c r="AK46" s="57">
        <f>IF(AN46=12,K46,0)</f>
      </c>
      <c r="AL46" s="57">
        <f>IF(AN46=21,K46,0)</f>
      </c>
      <c r="AN46" s="57" t="n">
        <v>21</v>
      </c>
      <c r="AO46" s="57">
        <f>H46*0.781673307</f>
      </c>
      <c r="AP46" s="57">
        <f>H46*(1-0.781673307)</f>
      </c>
      <c r="AQ46" s="60" t="s">
        <v>56</v>
      </c>
      <c r="AV46" s="57">
        <f>AW46+AX46</f>
      </c>
      <c r="AW46" s="57">
        <f>G46*AO46</f>
      </c>
      <c r="AX46" s="57">
        <f>G46*AP46</f>
      </c>
      <c r="AY46" s="60" t="s">
        <v>131</v>
      </c>
      <c r="AZ46" s="60" t="s">
        <v>132</v>
      </c>
      <c r="BA46" s="33" t="s">
        <v>63</v>
      </c>
      <c r="BC46" s="57">
        <f>AW46+AX46</f>
      </c>
      <c r="BD46" s="57">
        <f>H46/(100-BE46)*100</f>
      </c>
      <c r="BE46" s="57" t="n">
        <v>0</v>
      </c>
      <c r="BF46" s="57">
        <f>46</f>
      </c>
      <c r="BH46" s="57">
        <f>G46*AO46</f>
      </c>
      <c r="BI46" s="57">
        <f>G46*AP46</f>
      </c>
      <c r="BJ46" s="57">
        <f>G46*H46</f>
      </c>
      <c r="BK46" s="57"/>
      <c r="BL46" s="57" t="n">
        <v>56</v>
      </c>
      <c r="BW46" s="57" t="n">
        <v>21</v>
      </c>
      <c r="BX46" s="16" t="s">
        <v>130</v>
      </c>
    </row>
    <row r="47" customHeight="true" ht="13.5">
      <c r="A47" s="61"/>
      <c r="C47" s="66" t="s">
        <v>69</v>
      </c>
      <c r="D47" s="67" t="s">
        <v>133</v>
      </c>
      <c r="E47" s="68"/>
      <c r="F47" s="68"/>
      <c r="G47" s="68"/>
      <c r="H47" s="69"/>
      <c r="I47" s="68"/>
      <c r="J47" s="68"/>
      <c r="K47" s="68"/>
      <c r="L47" s="70"/>
    </row>
    <row r="48">
      <c r="A48" s="61"/>
      <c r="D48" s="62" t="s">
        <v>134</v>
      </c>
      <c r="E48" s="63" t="s">
        <v>51</v>
      </c>
      <c r="G48" s="64" t="n">
        <v>9</v>
      </c>
      <c r="L48" s="65"/>
    </row>
    <row r="49">
      <c r="A49" s="10" t="s">
        <v>135</v>
      </c>
      <c r="B49" s="11" t="s">
        <v>52</v>
      </c>
      <c r="C49" s="11" t="s">
        <v>136</v>
      </c>
      <c r="D49" s="16" t="s">
        <v>137</v>
      </c>
      <c r="E49" s="11"/>
      <c r="F49" s="11" t="s">
        <v>59</v>
      </c>
      <c r="G49" s="57" t="n">
        <v>171</v>
      </c>
      <c r="H49" s="58" t="n">
        <v>0</v>
      </c>
      <c r="I49" s="57">
        <f>G49*AO49</f>
      </c>
      <c r="J49" s="57">
        <f>G49*AP49</f>
      </c>
      <c r="K49" s="57">
        <f>G49*H49</f>
      </c>
      <c r="L49" s="59" t="s">
        <v>60</v>
      </c>
      <c r="Z49" s="57">
        <f>IF(AQ49="5",BJ49,0)</f>
      </c>
      <c r="AB49" s="57">
        <f>IF(AQ49="1",BH49,0)</f>
      </c>
      <c r="AC49" s="57">
        <f>IF(AQ49="1",BI49,0)</f>
      </c>
      <c r="AD49" s="57">
        <f>IF(AQ49="7",BH49,0)</f>
      </c>
      <c r="AE49" s="57">
        <f>IF(AQ49="7",BI49,0)</f>
      </c>
      <c r="AF49" s="57">
        <f>IF(AQ49="2",BH49,0)</f>
      </c>
      <c r="AG49" s="57">
        <f>IF(AQ49="2",BI49,0)</f>
      </c>
      <c r="AH49" s="57">
        <f>IF(AQ49="0",BJ49,0)</f>
      </c>
      <c r="AI49" s="33" t="s">
        <v>52</v>
      </c>
      <c r="AJ49" s="57">
        <f>IF(AN49=0,K49,0)</f>
      </c>
      <c r="AK49" s="57">
        <f>IF(AN49=12,K49,0)</f>
      </c>
      <c r="AL49" s="57">
        <f>IF(AN49=21,K49,0)</f>
      </c>
      <c r="AN49" s="57" t="n">
        <v>21</v>
      </c>
      <c r="AO49" s="57">
        <f>H49*0.825526316</f>
      </c>
      <c r="AP49" s="57">
        <f>H49*(1-0.825526316)</f>
      </c>
      <c r="AQ49" s="60" t="s">
        <v>56</v>
      </c>
      <c r="AV49" s="57">
        <f>AW49+AX49</f>
      </c>
      <c r="AW49" s="57">
        <f>G49*AO49</f>
      </c>
      <c r="AX49" s="57">
        <f>G49*AP49</f>
      </c>
      <c r="AY49" s="60" t="s">
        <v>131</v>
      </c>
      <c r="AZ49" s="60" t="s">
        <v>132</v>
      </c>
      <c r="BA49" s="33" t="s">
        <v>63</v>
      </c>
      <c r="BC49" s="57">
        <f>AW49+AX49</f>
      </c>
      <c r="BD49" s="57">
        <f>H49/(100-BE49)*100</f>
      </c>
      <c r="BE49" s="57" t="n">
        <v>0</v>
      </c>
      <c r="BF49" s="57">
        <f>49</f>
      </c>
      <c r="BH49" s="57">
        <f>G49*AO49</f>
      </c>
      <c r="BI49" s="57">
        <f>G49*AP49</f>
      </c>
      <c r="BJ49" s="57">
        <f>G49*H49</f>
      </c>
      <c r="BK49" s="57"/>
      <c r="BL49" s="57" t="n">
        <v>56</v>
      </c>
      <c r="BW49" s="57" t="n">
        <v>21</v>
      </c>
      <c r="BX49" s="16" t="s">
        <v>137</v>
      </c>
    </row>
    <row r="50" customHeight="true" ht="13.5">
      <c r="A50" s="61"/>
      <c r="C50" s="66" t="s">
        <v>69</v>
      </c>
      <c r="D50" s="67" t="s">
        <v>138</v>
      </c>
      <c r="E50" s="68"/>
      <c r="F50" s="68"/>
      <c r="G50" s="68"/>
      <c r="H50" s="69"/>
      <c r="I50" s="68"/>
      <c r="J50" s="68"/>
      <c r="K50" s="68"/>
      <c r="L50" s="70"/>
    </row>
    <row r="51">
      <c r="A51" s="51" t="s">
        <v>51</v>
      </c>
      <c r="B51" s="52" t="s">
        <v>52</v>
      </c>
      <c r="C51" s="52" t="s">
        <v>139</v>
      </c>
      <c r="D51" s="53" t="s">
        <v>140</v>
      </c>
      <c r="E51" s="52"/>
      <c r="F51" s="54" t="s">
        <v>4</v>
      </c>
      <c r="G51" s="54" t="s">
        <v>4</v>
      </c>
      <c r="H51" s="55" t="s">
        <v>4</v>
      </c>
      <c r="I51" s="2">
        <f>SUM(I52:I55)</f>
      </c>
      <c r="J51" s="2">
        <f>SUM(J52:J55)</f>
      </c>
      <c r="K51" s="2">
        <f>SUM(K52:K55)</f>
      </c>
      <c r="L51" s="56" t="s">
        <v>51</v>
      </c>
      <c r="AI51" s="33" t="s">
        <v>52</v>
      </c>
      <c r="AS51" s="2">
        <f>SUM(AJ52:AJ55)</f>
      </c>
      <c r="AT51" s="2">
        <f>SUM(AK52:AK55)</f>
      </c>
      <c r="AU51" s="2">
        <f>SUM(AL52:AL55)</f>
      </c>
    </row>
    <row r="52">
      <c r="A52" s="10" t="s">
        <v>141</v>
      </c>
      <c r="B52" s="11" t="s">
        <v>52</v>
      </c>
      <c r="C52" s="11" t="s">
        <v>142</v>
      </c>
      <c r="D52" s="16" t="s">
        <v>143</v>
      </c>
      <c r="E52" s="11"/>
      <c r="F52" s="11" t="s">
        <v>59</v>
      </c>
      <c r="G52" s="57" t="n">
        <v>171</v>
      </c>
      <c r="H52" s="58" t="n">
        <v>0</v>
      </c>
      <c r="I52" s="57">
        <f>G52*AO52</f>
      </c>
      <c r="J52" s="57">
        <f>G52*AP52</f>
      </c>
      <c r="K52" s="57">
        <f>G52*H52</f>
      </c>
      <c r="L52" s="59" t="s">
        <v>60</v>
      </c>
      <c r="Z52" s="57">
        <f>IF(AQ52="5",BJ52,0)</f>
      </c>
      <c r="AB52" s="57">
        <f>IF(AQ52="1",BH52,0)</f>
      </c>
      <c r="AC52" s="57">
        <f>IF(AQ52="1",BI52,0)</f>
      </c>
      <c r="AD52" s="57">
        <f>IF(AQ52="7",BH52,0)</f>
      </c>
      <c r="AE52" s="57">
        <f>IF(AQ52="7",BI52,0)</f>
      </c>
      <c r="AF52" s="57">
        <f>IF(AQ52="2",BH52,0)</f>
      </c>
      <c r="AG52" s="57">
        <f>IF(AQ52="2",BI52,0)</f>
      </c>
      <c r="AH52" s="57">
        <f>IF(AQ52="0",BJ52,0)</f>
      </c>
      <c r="AI52" s="33" t="s">
        <v>52</v>
      </c>
      <c r="AJ52" s="57">
        <f>IF(AN52=0,K52,0)</f>
      </c>
      <c r="AK52" s="57">
        <f>IF(AN52=12,K52,0)</f>
      </c>
      <c r="AL52" s="57">
        <f>IF(AN52=21,K52,0)</f>
      </c>
      <c r="AN52" s="57" t="n">
        <v>21</v>
      </c>
      <c r="AO52" s="57">
        <f>H52*0.154257975</f>
      </c>
      <c r="AP52" s="57">
        <f>H52*(1-0.154257975)</f>
      </c>
      <c r="AQ52" s="60" t="s">
        <v>56</v>
      </c>
      <c r="AV52" s="57">
        <f>AW52+AX52</f>
      </c>
      <c r="AW52" s="57">
        <f>G52*AO52</f>
      </c>
      <c r="AX52" s="57">
        <f>G52*AP52</f>
      </c>
      <c r="AY52" s="60" t="s">
        <v>144</v>
      </c>
      <c r="AZ52" s="60" t="s">
        <v>132</v>
      </c>
      <c r="BA52" s="33" t="s">
        <v>63</v>
      </c>
      <c r="BC52" s="57">
        <f>AW52+AX52</f>
      </c>
      <c r="BD52" s="57">
        <f>H52/(100-BE52)*100</f>
      </c>
      <c r="BE52" s="57" t="n">
        <v>0</v>
      </c>
      <c r="BF52" s="57">
        <f>52</f>
      </c>
      <c r="BH52" s="57">
        <f>G52*AO52</f>
      </c>
      <c r="BI52" s="57">
        <f>G52*AP52</f>
      </c>
      <c r="BJ52" s="57">
        <f>G52*H52</f>
      </c>
      <c r="BK52" s="57"/>
      <c r="BL52" s="57" t="n">
        <v>59</v>
      </c>
      <c r="BW52" s="57" t="n">
        <v>21</v>
      </c>
      <c r="BX52" s="16" t="s">
        <v>143</v>
      </c>
    </row>
    <row r="53" customHeight="true" ht="13.5">
      <c r="A53" s="61"/>
      <c r="C53" s="66" t="s">
        <v>69</v>
      </c>
      <c r="D53" s="67" t="s">
        <v>145</v>
      </c>
      <c r="E53" s="68"/>
      <c r="F53" s="68"/>
      <c r="G53" s="68"/>
      <c r="H53" s="69"/>
      <c r="I53" s="68"/>
      <c r="J53" s="68"/>
      <c r="K53" s="68"/>
      <c r="L53" s="70"/>
    </row>
    <row r="54">
      <c r="A54" s="10" t="s">
        <v>80</v>
      </c>
      <c r="B54" s="11" t="s">
        <v>52</v>
      </c>
      <c r="C54" s="11" t="s">
        <v>146</v>
      </c>
      <c r="D54" s="16" t="s">
        <v>147</v>
      </c>
      <c r="E54" s="11"/>
      <c r="F54" s="11" t="s">
        <v>68</v>
      </c>
      <c r="G54" s="57" t="n">
        <v>60</v>
      </c>
      <c r="H54" s="58" t="n">
        <v>0</v>
      </c>
      <c r="I54" s="57">
        <f>G54*AO54</f>
      </c>
      <c r="J54" s="57">
        <f>G54*AP54</f>
      </c>
      <c r="K54" s="57">
        <f>G54*H54</f>
      </c>
      <c r="L54" s="59" t="s">
        <v>60</v>
      </c>
      <c r="Z54" s="57">
        <f>IF(AQ54="5",BJ54,0)</f>
      </c>
      <c r="AB54" s="57">
        <f>IF(AQ54="1",BH54,0)</f>
      </c>
      <c r="AC54" s="57">
        <f>IF(AQ54="1",BI54,0)</f>
      </c>
      <c r="AD54" s="57">
        <f>IF(AQ54="7",BH54,0)</f>
      </c>
      <c r="AE54" s="57">
        <f>IF(AQ54="7",BI54,0)</f>
      </c>
      <c r="AF54" s="57">
        <f>IF(AQ54="2",BH54,0)</f>
      </c>
      <c r="AG54" s="57">
        <f>IF(AQ54="2",BI54,0)</f>
      </c>
      <c r="AH54" s="57">
        <f>IF(AQ54="0",BJ54,0)</f>
      </c>
      <c r="AI54" s="33" t="s">
        <v>52</v>
      </c>
      <c r="AJ54" s="57">
        <f>IF(AN54=0,K54,0)</f>
      </c>
      <c r="AK54" s="57">
        <f>IF(AN54=12,K54,0)</f>
      </c>
      <c r="AL54" s="57">
        <f>IF(AN54=21,K54,0)</f>
      </c>
      <c r="AN54" s="57" t="n">
        <v>21</v>
      </c>
      <c r="AO54" s="57">
        <f>H54*0.051456</f>
      </c>
      <c r="AP54" s="57">
        <f>H54*(1-0.051456)</f>
      </c>
      <c r="AQ54" s="60" t="s">
        <v>56</v>
      </c>
      <c r="AV54" s="57">
        <f>AW54+AX54</f>
      </c>
      <c r="AW54" s="57">
        <f>G54*AO54</f>
      </c>
      <c r="AX54" s="57">
        <f>G54*AP54</f>
      </c>
      <c r="AY54" s="60" t="s">
        <v>144</v>
      </c>
      <c r="AZ54" s="60" t="s">
        <v>132</v>
      </c>
      <c r="BA54" s="33" t="s">
        <v>63</v>
      </c>
      <c r="BC54" s="57">
        <f>AW54+AX54</f>
      </c>
      <c r="BD54" s="57">
        <f>H54/(100-BE54)*100</f>
      </c>
      <c r="BE54" s="57" t="n">
        <v>0</v>
      </c>
      <c r="BF54" s="57">
        <f>54</f>
      </c>
      <c r="BH54" s="57">
        <f>G54*AO54</f>
      </c>
      <c r="BI54" s="57">
        <f>G54*AP54</f>
      </c>
      <c r="BJ54" s="57">
        <f>G54*H54</f>
      </c>
      <c r="BK54" s="57"/>
      <c r="BL54" s="57" t="n">
        <v>59</v>
      </c>
      <c r="BW54" s="57" t="n">
        <v>21</v>
      </c>
      <c r="BX54" s="16" t="s">
        <v>147</v>
      </c>
    </row>
    <row r="55" ht="24.75">
      <c r="A55" s="10" t="s">
        <v>97</v>
      </c>
      <c r="B55" s="11" t="s">
        <v>52</v>
      </c>
      <c r="C55" s="11" t="s">
        <v>148</v>
      </c>
      <c r="D55" s="16" t="s">
        <v>149</v>
      </c>
      <c r="E55" s="11"/>
      <c r="F55" s="11" t="s">
        <v>77</v>
      </c>
      <c r="G55" s="57" t="n">
        <v>3.93</v>
      </c>
      <c r="H55" s="58" t="n">
        <v>0</v>
      </c>
      <c r="I55" s="57">
        <f>G55*AO55</f>
      </c>
      <c r="J55" s="57">
        <f>G55*AP55</f>
      </c>
      <c r="K55" s="57">
        <f>G55*H55</f>
      </c>
      <c r="L55" s="59" t="s">
        <v>60</v>
      </c>
      <c r="Z55" s="57">
        <f>IF(AQ55="5",BJ55,0)</f>
      </c>
      <c r="AB55" s="57">
        <f>IF(AQ55="1",BH55,0)</f>
      </c>
      <c r="AC55" s="57">
        <f>IF(AQ55="1",BI55,0)</f>
      </c>
      <c r="AD55" s="57">
        <f>IF(AQ55="7",BH55,0)</f>
      </c>
      <c r="AE55" s="57">
        <f>IF(AQ55="7",BI55,0)</f>
      </c>
      <c r="AF55" s="57">
        <f>IF(AQ55="2",BH55,0)</f>
      </c>
      <c r="AG55" s="57">
        <f>IF(AQ55="2",BI55,0)</f>
      </c>
      <c r="AH55" s="57">
        <f>IF(AQ55="0",BJ55,0)</f>
      </c>
      <c r="AI55" s="33" t="s">
        <v>52</v>
      </c>
      <c r="AJ55" s="57">
        <f>IF(AN55=0,K55,0)</f>
      </c>
      <c r="AK55" s="57">
        <f>IF(AN55=12,K55,0)</f>
      </c>
      <c r="AL55" s="57">
        <f>IF(AN55=21,K55,0)</f>
      </c>
      <c r="AN55" s="57" t="n">
        <v>21</v>
      </c>
      <c r="AO55" s="57">
        <f>H55*0</f>
      </c>
      <c r="AP55" s="57">
        <f>H55*(1-0)</f>
      </c>
      <c r="AQ55" s="60" t="s">
        <v>56</v>
      </c>
      <c r="AV55" s="57">
        <f>AW55+AX55</f>
      </c>
      <c r="AW55" s="57">
        <f>G55*AO55</f>
      </c>
      <c r="AX55" s="57">
        <f>G55*AP55</f>
      </c>
      <c r="AY55" s="60" t="s">
        <v>144</v>
      </c>
      <c r="AZ55" s="60" t="s">
        <v>132</v>
      </c>
      <c r="BA55" s="33" t="s">
        <v>63</v>
      </c>
      <c r="BC55" s="57">
        <f>AW55+AX55</f>
      </c>
      <c r="BD55" s="57">
        <f>H55/(100-BE55)*100</f>
      </c>
      <c r="BE55" s="57" t="n">
        <v>0</v>
      </c>
      <c r="BF55" s="57">
        <f>55</f>
      </c>
      <c r="BH55" s="57">
        <f>G55*AO55</f>
      </c>
      <c r="BI55" s="57">
        <f>G55*AP55</f>
      </c>
      <c r="BJ55" s="57">
        <f>G55*H55</f>
      </c>
      <c r="BK55" s="57"/>
      <c r="BL55" s="57" t="n">
        <v>59</v>
      </c>
      <c r="BW55" s="57" t="n">
        <v>21</v>
      </c>
      <c r="BX55" s="16" t="s">
        <v>149</v>
      </c>
    </row>
    <row r="56">
      <c r="A56" s="61"/>
      <c r="D56" s="62" t="s">
        <v>150</v>
      </c>
      <c r="E56" s="63" t="s">
        <v>51</v>
      </c>
      <c r="G56" s="64" t="n">
        <v>3.93</v>
      </c>
      <c r="L56" s="65"/>
    </row>
    <row r="57">
      <c r="A57" s="51" t="s">
        <v>51</v>
      </c>
      <c r="B57" s="52" t="s">
        <v>52</v>
      </c>
      <c r="C57" s="52" t="s">
        <v>151</v>
      </c>
      <c r="D57" s="53" t="s">
        <v>152</v>
      </c>
      <c r="E57" s="52"/>
      <c r="F57" s="54" t="s">
        <v>4</v>
      </c>
      <c r="G57" s="54" t="s">
        <v>4</v>
      </c>
      <c r="H57" s="55" t="s">
        <v>4</v>
      </c>
      <c r="I57" s="2">
        <f>SUM(I58:I58)</f>
      </c>
      <c r="J57" s="2">
        <f>SUM(J58:J58)</f>
      </c>
      <c r="K57" s="2">
        <f>SUM(K58:K58)</f>
      </c>
      <c r="L57" s="56" t="s">
        <v>51</v>
      </c>
      <c r="AI57" s="33" t="s">
        <v>52</v>
      </c>
      <c r="AS57" s="2">
        <f>SUM(AJ58:AJ58)</f>
      </c>
      <c r="AT57" s="2">
        <f>SUM(AK58:AK58)</f>
      </c>
      <c r="AU57" s="2">
        <f>SUM(AL58:AL58)</f>
      </c>
    </row>
    <row r="58" ht="24.75">
      <c r="A58" s="10" t="s">
        <v>111</v>
      </c>
      <c r="B58" s="11" t="s">
        <v>52</v>
      </c>
      <c r="C58" s="11" t="s">
        <v>153</v>
      </c>
      <c r="D58" s="16" t="s">
        <v>154</v>
      </c>
      <c r="E58" s="11"/>
      <c r="F58" s="11" t="s">
        <v>68</v>
      </c>
      <c r="G58" s="57" t="n">
        <v>18</v>
      </c>
      <c r="H58" s="58" t="n">
        <v>0</v>
      </c>
      <c r="I58" s="57">
        <f>G58*AO58</f>
      </c>
      <c r="J58" s="57">
        <f>G58*AP58</f>
      </c>
      <c r="K58" s="57">
        <f>G58*H58</f>
      </c>
      <c r="L58" s="59" t="s">
        <v>60</v>
      </c>
      <c r="Z58" s="57">
        <f>IF(AQ58="5",BJ58,0)</f>
      </c>
      <c r="AB58" s="57">
        <f>IF(AQ58="1",BH58,0)</f>
      </c>
      <c r="AC58" s="57">
        <f>IF(AQ58="1",BI58,0)</f>
      </c>
      <c r="AD58" s="57">
        <f>IF(AQ58="7",BH58,0)</f>
      </c>
      <c r="AE58" s="57">
        <f>IF(AQ58="7",BI58,0)</f>
      </c>
      <c r="AF58" s="57">
        <f>IF(AQ58="2",BH58,0)</f>
      </c>
      <c r="AG58" s="57">
        <f>IF(AQ58="2",BI58,0)</f>
      </c>
      <c r="AH58" s="57">
        <f>IF(AQ58="0",BJ58,0)</f>
      </c>
      <c r="AI58" s="33" t="s">
        <v>52</v>
      </c>
      <c r="AJ58" s="57">
        <f>IF(AN58=0,K58,0)</f>
      </c>
      <c r="AK58" s="57">
        <f>IF(AN58=12,K58,0)</f>
      </c>
      <c r="AL58" s="57">
        <f>IF(AN58=21,K58,0)</f>
      </c>
      <c r="AN58" s="57" t="n">
        <v>21</v>
      </c>
      <c r="AO58" s="57">
        <f>H58*0.572010376</f>
      </c>
      <c r="AP58" s="57">
        <f>H58*(1-0.572010376)</f>
      </c>
      <c r="AQ58" s="60" t="s">
        <v>56</v>
      </c>
      <c r="AV58" s="57">
        <f>AW58+AX58</f>
      </c>
      <c r="AW58" s="57">
        <f>G58*AO58</f>
      </c>
      <c r="AX58" s="57">
        <f>G58*AP58</f>
      </c>
      <c r="AY58" s="60" t="s">
        <v>155</v>
      </c>
      <c r="AZ58" s="60" t="s">
        <v>156</v>
      </c>
      <c r="BA58" s="33" t="s">
        <v>63</v>
      </c>
      <c r="BC58" s="57">
        <f>AW58+AX58</f>
      </c>
      <c r="BD58" s="57">
        <f>H58/(100-BE58)*100</f>
      </c>
      <c r="BE58" s="57" t="n">
        <v>0</v>
      </c>
      <c r="BF58" s="57">
        <f>58</f>
      </c>
      <c r="BH58" s="57">
        <f>G58*AO58</f>
      </c>
      <c r="BI58" s="57">
        <f>G58*AP58</f>
      </c>
      <c r="BJ58" s="57">
        <f>G58*H58</f>
      </c>
      <c r="BK58" s="57"/>
      <c r="BL58" s="57" t="n">
        <v>91</v>
      </c>
      <c r="BW58" s="57" t="n">
        <v>21</v>
      </c>
      <c r="BX58" s="16" t="s">
        <v>154</v>
      </c>
    </row>
    <row r="59">
      <c r="A59" s="61"/>
      <c r="D59" s="62" t="s">
        <v>157</v>
      </c>
      <c r="E59" s="63" t="s">
        <v>51</v>
      </c>
      <c r="G59" s="64" t="n">
        <v>18</v>
      </c>
      <c r="L59" s="65"/>
    </row>
    <row r="60" customHeight="true" ht="27">
      <c r="A60" s="61"/>
      <c r="C60" s="71" t="s">
        <v>87</v>
      </c>
      <c r="D60" s="72" t="s">
        <v>158</v>
      </c>
      <c r="E60" s="73"/>
      <c r="F60" s="73"/>
      <c r="G60" s="73"/>
      <c r="H60" s="74"/>
      <c r="I60" s="73"/>
      <c r="J60" s="73"/>
      <c r="K60" s="73"/>
      <c r="L60" s="75"/>
    </row>
    <row r="61">
      <c r="A61" s="51" t="s">
        <v>51</v>
      </c>
      <c r="B61" s="52" t="s">
        <v>52</v>
      </c>
      <c r="C61" s="52" t="s">
        <v>159</v>
      </c>
      <c r="D61" s="53" t="s">
        <v>160</v>
      </c>
      <c r="E61" s="52"/>
      <c r="F61" s="54" t="s">
        <v>4</v>
      </c>
      <c r="G61" s="54" t="s">
        <v>4</v>
      </c>
      <c r="H61" s="55" t="s">
        <v>4</v>
      </c>
      <c r="I61" s="2">
        <f>SUM(I62:I62)</f>
      </c>
      <c r="J61" s="2">
        <f>SUM(J62:J62)</f>
      </c>
      <c r="K61" s="2">
        <f>SUM(K62:K62)</f>
      </c>
      <c r="L61" s="56" t="s">
        <v>51</v>
      </c>
      <c r="AI61" s="33" t="s">
        <v>52</v>
      </c>
      <c r="AS61" s="2">
        <f>SUM(AJ62:AJ62)</f>
      </c>
      <c r="AT61" s="2">
        <f>SUM(AK62:AK62)</f>
      </c>
      <c r="AU61" s="2">
        <f>SUM(AL62:AL62)</f>
      </c>
    </row>
    <row r="62">
      <c r="A62" s="10" t="s">
        <v>161</v>
      </c>
      <c r="B62" s="11" t="s">
        <v>52</v>
      </c>
      <c r="C62" s="11" t="s">
        <v>162</v>
      </c>
      <c r="D62" s="16" t="s">
        <v>163</v>
      </c>
      <c r="E62" s="11"/>
      <c r="F62" s="11" t="s">
        <v>164</v>
      </c>
      <c r="G62" s="57" t="n">
        <v>127.4</v>
      </c>
      <c r="H62" s="58" t="n">
        <v>0</v>
      </c>
      <c r="I62" s="57">
        <f>G62*AO62</f>
      </c>
      <c r="J62" s="57">
        <f>G62*AP62</f>
      </c>
      <c r="K62" s="57">
        <f>G62*H62</f>
      </c>
      <c r="L62" s="59" t="s">
        <v>60</v>
      </c>
      <c r="Z62" s="57">
        <f>IF(AQ62="5",BJ62,0)</f>
      </c>
      <c r="AB62" s="57">
        <f>IF(AQ62="1",BH62,0)</f>
      </c>
      <c r="AC62" s="57">
        <f>IF(AQ62="1",BI62,0)</f>
      </c>
      <c r="AD62" s="57">
        <f>IF(AQ62="7",BH62,0)</f>
      </c>
      <c r="AE62" s="57">
        <f>IF(AQ62="7",BI62,0)</f>
      </c>
      <c r="AF62" s="57">
        <f>IF(AQ62="2",BH62,0)</f>
      </c>
      <c r="AG62" s="57">
        <f>IF(AQ62="2",BI62,0)</f>
      </c>
      <c r="AH62" s="57">
        <f>IF(AQ62="0",BJ62,0)</f>
      </c>
      <c r="AI62" s="33" t="s">
        <v>52</v>
      </c>
      <c r="AJ62" s="57">
        <f>IF(AN62=0,K62,0)</f>
      </c>
      <c r="AK62" s="57">
        <f>IF(AN62=12,K62,0)</f>
      </c>
      <c r="AL62" s="57">
        <f>IF(AN62=21,K62,0)</f>
      </c>
      <c r="AN62" s="57" t="n">
        <v>21</v>
      </c>
      <c r="AO62" s="57">
        <f>H62*0</f>
      </c>
      <c r="AP62" s="57">
        <f>H62*(1-0)</f>
      </c>
      <c r="AQ62" s="60" t="s">
        <v>89</v>
      </c>
      <c r="AV62" s="57">
        <f>AW62+AX62</f>
      </c>
      <c r="AW62" s="57">
        <f>G62*AO62</f>
      </c>
      <c r="AX62" s="57">
        <f>G62*AP62</f>
      </c>
      <c r="AY62" s="60" t="s">
        <v>165</v>
      </c>
      <c r="AZ62" s="60" t="s">
        <v>156</v>
      </c>
      <c r="BA62" s="33" t="s">
        <v>63</v>
      </c>
      <c r="BC62" s="57">
        <f>AW62+AX62</f>
      </c>
      <c r="BD62" s="57">
        <f>H62/(100-BE62)*100</f>
      </c>
      <c r="BE62" s="57" t="n">
        <v>0</v>
      </c>
      <c r="BF62" s="57">
        <f>62</f>
      </c>
      <c r="BH62" s="57">
        <f>G62*AO62</f>
      </c>
      <c r="BI62" s="57">
        <f>G62*AP62</f>
      </c>
      <c r="BJ62" s="57">
        <f>G62*H62</f>
      </c>
      <c r="BK62" s="57"/>
      <c r="BL62" s="57"/>
      <c r="BW62" s="57" t="n">
        <v>21</v>
      </c>
      <c r="BX62" s="16" t="s">
        <v>163</v>
      </c>
    </row>
    <row r="63">
      <c r="A63" s="61"/>
      <c r="D63" s="62" t="s">
        <v>166</v>
      </c>
      <c r="E63" s="63" t="s">
        <v>51</v>
      </c>
      <c r="G63" s="64" t="n">
        <v>127.4</v>
      </c>
      <c r="L63" s="65"/>
    </row>
    <row r="64">
      <c r="A64" s="51" t="s">
        <v>51</v>
      </c>
      <c r="B64" s="52" t="s">
        <v>52</v>
      </c>
      <c r="C64" s="52" t="s">
        <v>167</v>
      </c>
      <c r="D64" s="53" t="s">
        <v>168</v>
      </c>
      <c r="E64" s="52"/>
      <c r="F64" s="54" t="s">
        <v>4</v>
      </c>
      <c r="G64" s="54" t="s">
        <v>4</v>
      </c>
      <c r="H64" s="55" t="s">
        <v>4</v>
      </c>
      <c r="I64" s="2">
        <f>SUM(I65:I75)</f>
      </c>
      <c r="J64" s="2">
        <f>SUM(J65:J75)</f>
      </c>
      <c r="K64" s="2">
        <f>SUM(K65:K75)</f>
      </c>
      <c r="L64" s="56" t="s">
        <v>51</v>
      </c>
      <c r="AI64" s="33" t="s">
        <v>52</v>
      </c>
      <c r="AS64" s="2">
        <f>SUM(AJ65:AJ75)</f>
      </c>
      <c r="AT64" s="2">
        <f>SUM(AK65:AK75)</f>
      </c>
      <c r="AU64" s="2">
        <f>SUM(AL65:AL75)</f>
      </c>
    </row>
    <row r="65">
      <c r="A65" s="10" t="s">
        <v>169</v>
      </c>
      <c r="B65" s="11" t="s">
        <v>52</v>
      </c>
      <c r="C65" s="11" t="s">
        <v>170</v>
      </c>
      <c r="D65" s="16" t="s">
        <v>171</v>
      </c>
      <c r="E65" s="11"/>
      <c r="F65" s="11" t="s">
        <v>164</v>
      </c>
      <c r="G65" s="57" t="n">
        <v>152.8</v>
      </c>
      <c r="H65" s="58" t="n">
        <v>0</v>
      </c>
      <c r="I65" s="57">
        <f>G65*AO65</f>
      </c>
      <c r="J65" s="57">
        <f>G65*AP65</f>
      </c>
      <c r="K65" s="57">
        <f>G65*H65</f>
      </c>
      <c r="L65" s="59" t="s">
        <v>60</v>
      </c>
      <c r="Z65" s="57">
        <f>IF(AQ65="5",BJ65,0)</f>
      </c>
      <c r="AB65" s="57">
        <f>IF(AQ65="1",BH65,0)</f>
      </c>
      <c r="AC65" s="57">
        <f>IF(AQ65="1",BI65,0)</f>
      </c>
      <c r="AD65" s="57">
        <f>IF(AQ65="7",BH65,0)</f>
      </c>
      <c r="AE65" s="57">
        <f>IF(AQ65="7",BI65,0)</f>
      </c>
      <c r="AF65" s="57">
        <f>IF(AQ65="2",BH65,0)</f>
      </c>
      <c r="AG65" s="57">
        <f>IF(AQ65="2",BI65,0)</f>
      </c>
      <c r="AH65" s="57">
        <f>IF(AQ65="0",BJ65,0)</f>
      </c>
      <c r="AI65" s="33" t="s">
        <v>52</v>
      </c>
      <c r="AJ65" s="57">
        <f>IF(AN65=0,K65,0)</f>
      </c>
      <c r="AK65" s="57">
        <f>IF(AN65=12,K65,0)</f>
      </c>
      <c r="AL65" s="57">
        <f>IF(AN65=21,K65,0)</f>
      </c>
      <c r="AN65" s="57" t="n">
        <v>21</v>
      </c>
      <c r="AO65" s="57">
        <f>H65*0</f>
      </c>
      <c r="AP65" s="57">
        <f>H65*(1-0)</f>
      </c>
      <c r="AQ65" s="60" t="s">
        <v>89</v>
      </c>
      <c r="AV65" s="57">
        <f>AW65+AX65</f>
      </c>
      <c r="AW65" s="57">
        <f>G65*AO65</f>
      </c>
      <c r="AX65" s="57">
        <f>G65*AP65</f>
      </c>
      <c r="AY65" s="60" t="s">
        <v>172</v>
      </c>
      <c r="AZ65" s="60" t="s">
        <v>156</v>
      </c>
      <c r="BA65" s="33" t="s">
        <v>63</v>
      </c>
      <c r="BC65" s="57">
        <f>AW65+AX65</f>
      </c>
      <c r="BD65" s="57">
        <f>H65/(100-BE65)*100</f>
      </c>
      <c r="BE65" s="57" t="n">
        <v>0</v>
      </c>
      <c r="BF65" s="57">
        <f>65</f>
      </c>
      <c r="BH65" s="57">
        <f>G65*AO65</f>
      </c>
      <c r="BI65" s="57">
        <f>G65*AP65</f>
      </c>
      <c r="BJ65" s="57">
        <f>G65*H65</f>
      </c>
      <c r="BK65" s="57"/>
      <c r="BL65" s="57"/>
      <c r="BW65" s="57" t="n">
        <v>21</v>
      </c>
      <c r="BX65" s="16" t="s">
        <v>171</v>
      </c>
    </row>
    <row r="66">
      <c r="A66" s="10" t="s">
        <v>173</v>
      </c>
      <c r="B66" s="11" t="s">
        <v>52</v>
      </c>
      <c r="C66" s="11" t="s">
        <v>174</v>
      </c>
      <c r="D66" s="16" t="s">
        <v>175</v>
      </c>
      <c r="E66" s="11"/>
      <c r="F66" s="11" t="s">
        <v>164</v>
      </c>
      <c r="G66" s="57" t="n">
        <v>1375.2</v>
      </c>
      <c r="H66" s="58" t="n">
        <v>0</v>
      </c>
      <c r="I66" s="57">
        <f>G66*AO66</f>
      </c>
      <c r="J66" s="57">
        <f>G66*AP66</f>
      </c>
      <c r="K66" s="57">
        <f>G66*H66</f>
      </c>
      <c r="L66" s="59" t="s">
        <v>60</v>
      </c>
      <c r="Z66" s="57">
        <f>IF(AQ66="5",BJ66,0)</f>
      </c>
      <c r="AB66" s="57">
        <f>IF(AQ66="1",BH66,0)</f>
      </c>
      <c r="AC66" s="57">
        <f>IF(AQ66="1",BI66,0)</f>
      </c>
      <c r="AD66" s="57">
        <f>IF(AQ66="7",BH66,0)</f>
      </c>
      <c r="AE66" s="57">
        <f>IF(AQ66="7",BI66,0)</f>
      </c>
      <c r="AF66" s="57">
        <f>IF(AQ66="2",BH66,0)</f>
      </c>
      <c r="AG66" s="57">
        <f>IF(AQ66="2",BI66,0)</f>
      </c>
      <c r="AH66" s="57">
        <f>IF(AQ66="0",BJ66,0)</f>
      </c>
      <c r="AI66" s="33" t="s">
        <v>52</v>
      </c>
      <c r="AJ66" s="57">
        <f>IF(AN66=0,K66,0)</f>
      </c>
      <c r="AK66" s="57">
        <f>IF(AN66=12,K66,0)</f>
      </c>
      <c r="AL66" s="57">
        <f>IF(AN66=21,K66,0)</f>
      </c>
      <c r="AN66" s="57" t="n">
        <v>21</v>
      </c>
      <c r="AO66" s="57">
        <f>H66*0</f>
      </c>
      <c r="AP66" s="57">
        <f>H66*(1-0)</f>
      </c>
      <c r="AQ66" s="60" t="s">
        <v>89</v>
      </c>
      <c r="AV66" s="57">
        <f>AW66+AX66</f>
      </c>
      <c r="AW66" s="57">
        <f>G66*AO66</f>
      </c>
      <c r="AX66" s="57">
        <f>G66*AP66</f>
      </c>
      <c r="AY66" s="60" t="s">
        <v>172</v>
      </c>
      <c r="AZ66" s="60" t="s">
        <v>156</v>
      </c>
      <c r="BA66" s="33" t="s">
        <v>63</v>
      </c>
      <c r="BC66" s="57">
        <f>AW66+AX66</f>
      </c>
      <c r="BD66" s="57">
        <f>H66/(100-BE66)*100</f>
      </c>
      <c r="BE66" s="57" t="n">
        <v>0</v>
      </c>
      <c r="BF66" s="57">
        <f>66</f>
      </c>
      <c r="BH66" s="57">
        <f>G66*AO66</f>
      </c>
      <c r="BI66" s="57">
        <f>G66*AP66</f>
      </c>
      <c r="BJ66" s="57">
        <f>G66*H66</f>
      </c>
      <c r="BK66" s="57"/>
      <c r="BL66" s="57"/>
      <c r="BW66" s="57" t="n">
        <v>21</v>
      </c>
      <c r="BX66" s="16" t="s">
        <v>175</v>
      </c>
    </row>
    <row r="67">
      <c r="A67" s="61"/>
      <c r="D67" s="62" t="s">
        <v>176</v>
      </c>
      <c r="E67" s="63" t="s">
        <v>51</v>
      </c>
      <c r="G67" s="64" t="n">
        <v>1375.2</v>
      </c>
      <c r="L67" s="65"/>
    </row>
    <row r="68" customHeight="true" ht="13.5">
      <c r="A68" s="61"/>
      <c r="C68" s="71" t="s">
        <v>87</v>
      </c>
      <c r="D68" s="72" t="s">
        <v>177</v>
      </c>
      <c r="E68" s="73"/>
      <c r="F68" s="73"/>
      <c r="G68" s="73"/>
      <c r="H68" s="74"/>
      <c r="I68" s="73"/>
      <c r="J68" s="73"/>
      <c r="K68" s="73"/>
      <c r="L68" s="75"/>
    </row>
    <row r="69">
      <c r="A69" s="10" t="s">
        <v>178</v>
      </c>
      <c r="B69" s="11" t="s">
        <v>52</v>
      </c>
      <c r="C69" s="11" t="s">
        <v>179</v>
      </c>
      <c r="D69" s="16" t="s">
        <v>180</v>
      </c>
      <c r="E69" s="11"/>
      <c r="F69" s="11" t="s">
        <v>164</v>
      </c>
      <c r="G69" s="57" t="n">
        <v>26.64</v>
      </c>
      <c r="H69" s="58" t="n">
        <v>0</v>
      </c>
      <c r="I69" s="57">
        <f>G69*AO69</f>
      </c>
      <c r="J69" s="57">
        <f>G69*AP69</f>
      </c>
      <c r="K69" s="57">
        <f>G69*H69</f>
      </c>
      <c r="L69" s="59" t="s">
        <v>60</v>
      </c>
      <c r="Z69" s="57">
        <f>IF(AQ69="5",BJ69,0)</f>
      </c>
      <c r="AB69" s="57">
        <f>IF(AQ69="1",BH69,0)</f>
      </c>
      <c r="AC69" s="57">
        <f>IF(AQ69="1",BI69,0)</f>
      </c>
      <c r="AD69" s="57">
        <f>IF(AQ69="7",BH69,0)</f>
      </c>
      <c r="AE69" s="57">
        <f>IF(AQ69="7",BI69,0)</f>
      </c>
      <c r="AF69" s="57">
        <f>IF(AQ69="2",BH69,0)</f>
      </c>
      <c r="AG69" s="57">
        <f>IF(AQ69="2",BI69,0)</f>
      </c>
      <c r="AH69" s="57">
        <f>IF(AQ69="0",BJ69,0)</f>
      </c>
      <c r="AI69" s="33" t="s">
        <v>52</v>
      </c>
      <c r="AJ69" s="57">
        <f>IF(AN69=0,K69,0)</f>
      </c>
      <c r="AK69" s="57">
        <f>IF(AN69=12,K69,0)</f>
      </c>
      <c r="AL69" s="57">
        <f>IF(AN69=21,K69,0)</f>
      </c>
      <c r="AN69" s="57" t="n">
        <v>21</v>
      </c>
      <c r="AO69" s="57">
        <f>H69*0</f>
      </c>
      <c r="AP69" s="57">
        <f>H69*(1-0)</f>
      </c>
      <c r="AQ69" s="60" t="s">
        <v>89</v>
      </c>
      <c r="AV69" s="57">
        <f>AW69+AX69</f>
      </c>
      <c r="AW69" s="57">
        <f>G69*AO69</f>
      </c>
      <c r="AX69" s="57">
        <f>G69*AP69</f>
      </c>
      <c r="AY69" s="60" t="s">
        <v>172</v>
      </c>
      <c r="AZ69" s="60" t="s">
        <v>156</v>
      </c>
      <c r="BA69" s="33" t="s">
        <v>63</v>
      </c>
      <c r="BC69" s="57">
        <f>AW69+AX69</f>
      </c>
      <c r="BD69" s="57">
        <f>H69/(100-BE69)*100</f>
      </c>
      <c r="BE69" s="57" t="n">
        <v>0</v>
      </c>
      <c r="BF69" s="57">
        <f>69</f>
      </c>
      <c r="BH69" s="57">
        <f>G69*AO69</f>
      </c>
      <c r="BI69" s="57">
        <f>G69*AP69</f>
      </c>
      <c r="BJ69" s="57">
        <f>G69*H69</f>
      </c>
      <c r="BK69" s="57"/>
      <c r="BL69" s="57"/>
      <c r="BW69" s="57" t="n">
        <v>21</v>
      </c>
      <c r="BX69" s="16" t="s">
        <v>180</v>
      </c>
    </row>
    <row r="70" customHeight="true" ht="13.5">
      <c r="A70" s="61"/>
      <c r="C70" s="66" t="s">
        <v>69</v>
      </c>
      <c r="D70" s="67" t="s">
        <v>145</v>
      </c>
      <c r="E70" s="68"/>
      <c r="F70" s="68"/>
      <c r="G70" s="68"/>
      <c r="H70" s="69"/>
      <c r="I70" s="68"/>
      <c r="J70" s="68"/>
      <c r="K70" s="68"/>
      <c r="L70" s="70"/>
    </row>
    <row r="71">
      <c r="A71" s="61"/>
      <c r="D71" s="62" t="s">
        <v>181</v>
      </c>
      <c r="E71" s="63" t="s">
        <v>51</v>
      </c>
      <c r="G71" s="64" t="n">
        <v>26.64</v>
      </c>
      <c r="L71" s="65"/>
    </row>
    <row r="72" customHeight="true" ht="13.5">
      <c r="A72" s="61"/>
      <c r="C72" s="71" t="s">
        <v>87</v>
      </c>
      <c r="D72" s="72" t="s">
        <v>182</v>
      </c>
      <c r="E72" s="73"/>
      <c r="F72" s="73"/>
      <c r="G72" s="73"/>
      <c r="H72" s="74"/>
      <c r="I72" s="73"/>
      <c r="J72" s="73"/>
      <c r="K72" s="73"/>
      <c r="L72" s="75"/>
    </row>
    <row r="73">
      <c r="A73" s="10" t="s">
        <v>183</v>
      </c>
      <c r="B73" s="11" t="s">
        <v>52</v>
      </c>
      <c r="C73" s="11" t="s">
        <v>184</v>
      </c>
      <c r="D73" s="16" t="s">
        <v>185</v>
      </c>
      <c r="E73" s="11"/>
      <c r="F73" s="11" t="s">
        <v>164</v>
      </c>
      <c r="G73" s="57" t="n">
        <v>26.64</v>
      </c>
      <c r="H73" s="58" t="n">
        <v>0</v>
      </c>
      <c r="I73" s="57">
        <f>G73*AO73</f>
      </c>
      <c r="J73" s="57">
        <f>G73*AP73</f>
      </c>
      <c r="K73" s="57">
        <f>G73*H73</f>
      </c>
      <c r="L73" s="59" t="s">
        <v>60</v>
      </c>
      <c r="Z73" s="57">
        <f>IF(AQ73="5",BJ73,0)</f>
      </c>
      <c r="AB73" s="57">
        <f>IF(AQ73="1",BH73,0)</f>
      </c>
      <c r="AC73" s="57">
        <f>IF(AQ73="1",BI73,0)</f>
      </c>
      <c r="AD73" s="57">
        <f>IF(AQ73="7",BH73,0)</f>
      </c>
      <c r="AE73" s="57">
        <f>IF(AQ73="7",BI73,0)</f>
      </c>
      <c r="AF73" s="57">
        <f>IF(AQ73="2",BH73,0)</f>
      </c>
      <c r="AG73" s="57">
        <f>IF(AQ73="2",BI73,0)</f>
      </c>
      <c r="AH73" s="57">
        <f>IF(AQ73="0",BJ73,0)</f>
      </c>
      <c r="AI73" s="33" t="s">
        <v>52</v>
      </c>
      <c r="AJ73" s="57">
        <f>IF(AN73=0,K73,0)</f>
      </c>
      <c r="AK73" s="57">
        <f>IF(AN73=12,K73,0)</f>
      </c>
      <c r="AL73" s="57">
        <f>IF(AN73=21,K73,0)</f>
      </c>
      <c r="AN73" s="57" t="n">
        <v>21</v>
      </c>
      <c r="AO73" s="57">
        <f>H73*0</f>
      </c>
      <c r="AP73" s="57">
        <f>H73*(1-0)</f>
      </c>
      <c r="AQ73" s="60" t="s">
        <v>89</v>
      </c>
      <c r="AV73" s="57">
        <f>AW73+AX73</f>
      </c>
      <c r="AW73" s="57">
        <f>G73*AO73</f>
      </c>
      <c r="AX73" s="57">
        <f>G73*AP73</f>
      </c>
      <c r="AY73" s="60" t="s">
        <v>172</v>
      </c>
      <c r="AZ73" s="60" t="s">
        <v>156</v>
      </c>
      <c r="BA73" s="33" t="s">
        <v>63</v>
      </c>
      <c r="BC73" s="57">
        <f>AW73+AX73</f>
      </c>
      <c r="BD73" s="57">
        <f>H73/(100-BE73)*100</f>
      </c>
      <c r="BE73" s="57" t="n">
        <v>0</v>
      </c>
      <c r="BF73" s="57">
        <f>73</f>
      </c>
      <c r="BH73" s="57">
        <f>G73*AO73</f>
      </c>
      <c r="BI73" s="57">
        <f>G73*AP73</f>
      </c>
      <c r="BJ73" s="57">
        <f>G73*H73</f>
      </c>
      <c r="BK73" s="57"/>
      <c r="BL73" s="57"/>
      <c r="BW73" s="57" t="n">
        <v>21</v>
      </c>
      <c r="BX73" s="16" t="s">
        <v>185</v>
      </c>
    </row>
    <row r="74" customHeight="true" ht="13.5">
      <c r="A74" s="61"/>
      <c r="C74" s="66" t="s">
        <v>69</v>
      </c>
      <c r="D74" s="67" t="s">
        <v>145</v>
      </c>
      <c r="E74" s="68"/>
      <c r="F74" s="68"/>
      <c r="G74" s="68"/>
      <c r="H74" s="69"/>
      <c r="I74" s="68"/>
      <c r="J74" s="68"/>
      <c r="K74" s="68"/>
      <c r="L74" s="70"/>
    </row>
    <row r="75">
      <c r="A75" s="10" t="s">
        <v>186</v>
      </c>
      <c r="B75" s="11" t="s">
        <v>52</v>
      </c>
      <c r="C75" s="11" t="s">
        <v>187</v>
      </c>
      <c r="D75" s="16" t="s">
        <v>188</v>
      </c>
      <c r="E75" s="11"/>
      <c r="F75" s="11" t="s">
        <v>164</v>
      </c>
      <c r="G75" s="57" t="n">
        <v>152.8</v>
      </c>
      <c r="H75" s="58" t="n">
        <v>0</v>
      </c>
      <c r="I75" s="57">
        <f>G75*AO75</f>
      </c>
      <c r="J75" s="57">
        <f>G75*AP75</f>
      </c>
      <c r="K75" s="57">
        <f>G75*H75</f>
      </c>
      <c r="L75" s="59" t="s">
        <v>60</v>
      </c>
      <c r="Z75" s="57">
        <f>IF(AQ75="5",BJ75,0)</f>
      </c>
      <c r="AB75" s="57">
        <f>IF(AQ75="1",BH75,0)</f>
      </c>
      <c r="AC75" s="57">
        <f>IF(AQ75="1",BI75,0)</f>
      </c>
      <c r="AD75" s="57">
        <f>IF(AQ75="7",BH75,0)</f>
      </c>
      <c r="AE75" s="57">
        <f>IF(AQ75="7",BI75,0)</f>
      </c>
      <c r="AF75" s="57">
        <f>IF(AQ75="2",BH75,0)</f>
      </c>
      <c r="AG75" s="57">
        <f>IF(AQ75="2",BI75,0)</f>
      </c>
      <c r="AH75" s="57">
        <f>IF(AQ75="0",BJ75,0)</f>
      </c>
      <c r="AI75" s="33" t="s">
        <v>52</v>
      </c>
      <c r="AJ75" s="57">
        <f>IF(AN75=0,K75,0)</f>
      </c>
      <c r="AK75" s="57">
        <f>IF(AN75=12,K75,0)</f>
      </c>
      <c r="AL75" s="57">
        <f>IF(AN75=21,K75,0)</f>
      </c>
      <c r="AN75" s="57" t="n">
        <v>21</v>
      </c>
      <c r="AO75" s="57">
        <f>H75*0</f>
      </c>
      <c r="AP75" s="57">
        <f>H75*(1-0)</f>
      </c>
      <c r="AQ75" s="60" t="s">
        <v>89</v>
      </c>
      <c r="AV75" s="57">
        <f>AW75+AX75</f>
      </c>
      <c r="AW75" s="57">
        <f>G75*AO75</f>
      </c>
      <c r="AX75" s="57">
        <f>G75*AP75</f>
      </c>
      <c r="AY75" s="60" t="s">
        <v>172</v>
      </c>
      <c r="AZ75" s="60" t="s">
        <v>156</v>
      </c>
      <c r="BA75" s="33" t="s">
        <v>63</v>
      </c>
      <c r="BC75" s="57">
        <f>AW75+AX75</f>
      </c>
      <c r="BD75" s="57">
        <f>H75/(100-BE75)*100</f>
      </c>
      <c r="BE75" s="57" t="n">
        <v>0</v>
      </c>
      <c r="BF75" s="57">
        <f>75</f>
      </c>
      <c r="BH75" s="57">
        <f>G75*AO75</f>
      </c>
      <c r="BI75" s="57">
        <f>G75*AP75</f>
      </c>
      <c r="BJ75" s="57">
        <f>G75*H75</f>
      </c>
      <c r="BK75" s="57"/>
      <c r="BL75" s="57"/>
      <c r="BW75" s="57" t="n">
        <v>21</v>
      </c>
      <c r="BX75" s="16" t="s">
        <v>188</v>
      </c>
    </row>
    <row r="76" customHeight="true" ht="13.5">
      <c r="A76" s="61"/>
      <c r="C76" s="71" t="s">
        <v>87</v>
      </c>
      <c r="D76" s="72" t="s">
        <v>189</v>
      </c>
      <c r="E76" s="73"/>
      <c r="F76" s="73"/>
      <c r="G76" s="73"/>
      <c r="H76" s="74"/>
      <c r="I76" s="73"/>
      <c r="J76" s="73"/>
      <c r="K76" s="73"/>
      <c r="L76" s="75"/>
    </row>
    <row r="77">
      <c r="A77" s="51" t="s">
        <v>51</v>
      </c>
      <c r="B77" s="52" t="s">
        <v>52</v>
      </c>
      <c r="C77" s="52" t="s">
        <v>190</v>
      </c>
      <c r="D77" s="53" t="s">
        <v>191</v>
      </c>
      <c r="E77" s="52"/>
      <c r="F77" s="54" t="s">
        <v>4</v>
      </c>
      <c r="G77" s="54" t="s">
        <v>4</v>
      </c>
      <c r="H77" s="55" t="s">
        <v>4</v>
      </c>
      <c r="I77" s="2">
        <f>SUM(I78:I88)</f>
      </c>
      <c r="J77" s="2">
        <f>SUM(J78:J88)</f>
      </c>
      <c r="K77" s="2">
        <f>SUM(K78:K88)</f>
      </c>
      <c r="L77" s="56" t="s">
        <v>51</v>
      </c>
      <c r="AI77" s="33" t="s">
        <v>52</v>
      </c>
      <c r="AS77" s="2">
        <f>SUM(AJ78:AJ88)</f>
      </c>
      <c r="AT77" s="2">
        <f>SUM(AK78:AK88)</f>
      </c>
      <c r="AU77" s="2">
        <f>SUM(AL78:AL88)</f>
      </c>
    </row>
    <row r="78">
      <c r="A78" s="10" t="s">
        <v>192</v>
      </c>
      <c r="B78" s="11" t="s">
        <v>52</v>
      </c>
      <c r="C78" s="11" t="s">
        <v>193</v>
      </c>
      <c r="D78" s="16" t="s">
        <v>194</v>
      </c>
      <c r="E78" s="11"/>
      <c r="F78" s="11" t="s">
        <v>195</v>
      </c>
      <c r="G78" s="57" t="n">
        <v>1.95</v>
      </c>
      <c r="H78" s="58" t="n">
        <v>0</v>
      </c>
      <c r="I78" s="57">
        <f>G78*AO78</f>
      </c>
      <c r="J78" s="57">
        <f>G78*AP78</f>
      </c>
      <c r="K78" s="57">
        <f>G78*H78</f>
      </c>
      <c r="L78" s="59" t="s">
        <v>60</v>
      </c>
      <c r="Z78" s="57">
        <f>IF(AQ78="5",BJ78,0)</f>
      </c>
      <c r="AB78" s="57">
        <f>IF(AQ78="1",BH78,0)</f>
      </c>
      <c r="AC78" s="57">
        <f>IF(AQ78="1",BI78,0)</f>
      </c>
      <c r="AD78" s="57">
        <f>IF(AQ78="7",BH78,0)</f>
      </c>
      <c r="AE78" s="57">
        <f>IF(AQ78="7",BI78,0)</f>
      </c>
      <c r="AF78" s="57">
        <f>IF(AQ78="2",BH78,0)</f>
      </c>
      <c r="AG78" s="57">
        <f>IF(AQ78="2",BI78,0)</f>
      </c>
      <c r="AH78" s="57">
        <f>IF(AQ78="0",BJ78,0)</f>
      </c>
      <c r="AI78" s="33" t="s">
        <v>52</v>
      </c>
      <c r="AJ78" s="57">
        <f>IF(AN78=0,K78,0)</f>
      </c>
      <c r="AK78" s="57">
        <f>IF(AN78=12,K78,0)</f>
      </c>
      <c r="AL78" s="57">
        <f>IF(AN78=21,K78,0)</f>
      </c>
      <c r="AN78" s="57" t="n">
        <v>21</v>
      </c>
      <c r="AO78" s="57">
        <f>H78*1</f>
      </c>
      <c r="AP78" s="57">
        <f>H78*(1-1)</f>
      </c>
      <c r="AQ78" s="60" t="s">
        <v>196</v>
      </c>
      <c r="AV78" s="57">
        <f>AW78+AX78</f>
      </c>
      <c r="AW78" s="57">
        <f>G78*AO78</f>
      </c>
      <c r="AX78" s="57">
        <f>G78*AP78</f>
      </c>
      <c r="AY78" s="60" t="s">
        <v>197</v>
      </c>
      <c r="AZ78" s="60" t="s">
        <v>198</v>
      </c>
      <c r="BA78" s="33" t="s">
        <v>63</v>
      </c>
      <c r="BC78" s="57">
        <f>AW78+AX78</f>
      </c>
      <c r="BD78" s="57">
        <f>H78/(100-BE78)*100</f>
      </c>
      <c r="BE78" s="57" t="n">
        <v>0</v>
      </c>
      <c r="BF78" s="57">
        <f>78</f>
      </c>
      <c r="BH78" s="57">
        <f>G78*AO78</f>
      </c>
      <c r="BI78" s="57">
        <f>G78*AP78</f>
      </c>
      <c r="BJ78" s="57">
        <f>G78*H78</f>
      </c>
      <c r="BK78" s="57"/>
      <c r="BL78" s="57"/>
      <c r="BW78" s="57" t="n">
        <v>21</v>
      </c>
      <c r="BX78" s="16" t="s">
        <v>194</v>
      </c>
    </row>
    <row r="79">
      <c r="A79" s="61"/>
      <c r="D79" s="62" t="s">
        <v>199</v>
      </c>
      <c r="E79" s="63" t="s">
        <v>51</v>
      </c>
      <c r="G79" s="64" t="n">
        <v>1.95</v>
      </c>
      <c r="L79" s="65"/>
    </row>
    <row r="80">
      <c r="A80" s="10" t="s">
        <v>200</v>
      </c>
      <c r="B80" s="11" t="s">
        <v>52</v>
      </c>
      <c r="C80" s="11" t="s">
        <v>201</v>
      </c>
      <c r="D80" s="16" t="s">
        <v>202</v>
      </c>
      <c r="E80" s="11"/>
      <c r="F80" s="11" t="s">
        <v>164</v>
      </c>
      <c r="G80" s="57" t="n">
        <v>9.2</v>
      </c>
      <c r="H80" s="58" t="n">
        <v>0</v>
      </c>
      <c r="I80" s="57">
        <f>G80*AO80</f>
      </c>
      <c r="J80" s="57">
        <f>G80*AP80</f>
      </c>
      <c r="K80" s="57">
        <f>G80*H80</f>
      </c>
      <c r="L80" s="59" t="s">
        <v>60</v>
      </c>
      <c r="Z80" s="57">
        <f>IF(AQ80="5",BJ80,0)</f>
      </c>
      <c r="AB80" s="57">
        <f>IF(AQ80="1",BH80,0)</f>
      </c>
      <c r="AC80" s="57">
        <f>IF(AQ80="1",BI80,0)</f>
      </c>
      <c r="AD80" s="57">
        <f>IF(AQ80="7",BH80,0)</f>
      </c>
      <c r="AE80" s="57">
        <f>IF(AQ80="7",BI80,0)</f>
      </c>
      <c r="AF80" s="57">
        <f>IF(AQ80="2",BH80,0)</f>
      </c>
      <c r="AG80" s="57">
        <f>IF(AQ80="2",BI80,0)</f>
      </c>
      <c r="AH80" s="57">
        <f>IF(AQ80="0",BJ80,0)</f>
      </c>
      <c r="AI80" s="33" t="s">
        <v>52</v>
      </c>
      <c r="AJ80" s="57">
        <f>IF(AN80=0,K80,0)</f>
      </c>
      <c r="AK80" s="57">
        <f>IF(AN80=12,K80,0)</f>
      </c>
      <c r="AL80" s="57">
        <f>IF(AN80=21,K80,0)</f>
      </c>
      <c r="AN80" s="57" t="n">
        <v>21</v>
      </c>
      <c r="AO80" s="57">
        <f>H80*1</f>
      </c>
      <c r="AP80" s="57">
        <f>H80*(1-1)</f>
      </c>
      <c r="AQ80" s="60" t="s">
        <v>196</v>
      </c>
      <c r="AV80" s="57">
        <f>AW80+AX80</f>
      </c>
      <c r="AW80" s="57">
        <f>G80*AO80</f>
      </c>
      <c r="AX80" s="57">
        <f>G80*AP80</f>
      </c>
      <c r="AY80" s="60" t="s">
        <v>197</v>
      </c>
      <c r="AZ80" s="60" t="s">
        <v>198</v>
      </c>
      <c r="BA80" s="33" t="s">
        <v>63</v>
      </c>
      <c r="BC80" s="57">
        <f>AW80+AX80</f>
      </c>
      <c r="BD80" s="57">
        <f>H80/(100-BE80)*100</f>
      </c>
      <c r="BE80" s="57" t="n">
        <v>0</v>
      </c>
      <c r="BF80" s="57">
        <f>80</f>
      </c>
      <c r="BH80" s="57">
        <f>G80*AO80</f>
      </c>
      <c r="BI80" s="57">
        <f>G80*AP80</f>
      </c>
      <c r="BJ80" s="57">
        <f>G80*H80</f>
      </c>
      <c r="BK80" s="57"/>
      <c r="BL80" s="57"/>
      <c r="BW80" s="57" t="n">
        <v>21</v>
      </c>
      <c r="BX80" s="16" t="s">
        <v>202</v>
      </c>
    </row>
    <row r="81">
      <c r="A81" s="61"/>
      <c r="D81" s="62" t="s">
        <v>203</v>
      </c>
      <c r="E81" s="63" t="s">
        <v>51</v>
      </c>
      <c r="G81" s="64" t="n">
        <v>9.2</v>
      </c>
      <c r="L81" s="65"/>
    </row>
    <row r="82">
      <c r="A82" s="10" t="s">
        <v>204</v>
      </c>
      <c r="B82" s="11" t="s">
        <v>52</v>
      </c>
      <c r="C82" s="11" t="s">
        <v>205</v>
      </c>
      <c r="D82" s="16" t="s">
        <v>206</v>
      </c>
      <c r="E82" s="11"/>
      <c r="F82" s="11" t="s">
        <v>207</v>
      </c>
      <c r="G82" s="57" t="n">
        <v>13.26</v>
      </c>
      <c r="H82" s="58" t="n">
        <v>0</v>
      </c>
      <c r="I82" s="57">
        <f>G82*AO82</f>
      </c>
      <c r="J82" s="57">
        <f>G82*AP82</f>
      </c>
      <c r="K82" s="57">
        <f>G82*H82</f>
      </c>
      <c r="L82" s="59" t="s">
        <v>60</v>
      </c>
      <c r="Z82" s="57">
        <f>IF(AQ82="5",BJ82,0)</f>
      </c>
      <c r="AB82" s="57">
        <f>IF(AQ82="1",BH82,0)</f>
      </c>
      <c r="AC82" s="57">
        <f>IF(AQ82="1",BI82,0)</f>
      </c>
      <c r="AD82" s="57">
        <f>IF(AQ82="7",BH82,0)</f>
      </c>
      <c r="AE82" s="57">
        <f>IF(AQ82="7",BI82,0)</f>
      </c>
      <c r="AF82" s="57">
        <f>IF(AQ82="2",BH82,0)</f>
      </c>
      <c r="AG82" s="57">
        <f>IF(AQ82="2",BI82,0)</f>
      </c>
      <c r="AH82" s="57">
        <f>IF(AQ82="0",BJ82,0)</f>
      </c>
      <c r="AI82" s="33" t="s">
        <v>52</v>
      </c>
      <c r="AJ82" s="57">
        <f>IF(AN82=0,K82,0)</f>
      </c>
      <c r="AK82" s="57">
        <f>IF(AN82=12,K82,0)</f>
      </c>
      <c r="AL82" s="57">
        <f>IF(AN82=21,K82,0)</f>
      </c>
      <c r="AN82" s="57" t="n">
        <v>21</v>
      </c>
      <c r="AO82" s="57">
        <f>H82*1</f>
      </c>
      <c r="AP82" s="57">
        <f>H82*(1-1)</f>
      </c>
      <c r="AQ82" s="60" t="s">
        <v>196</v>
      </c>
      <c r="AV82" s="57">
        <f>AW82+AX82</f>
      </c>
      <c r="AW82" s="57">
        <f>G82*AO82</f>
      </c>
      <c r="AX82" s="57">
        <f>G82*AP82</f>
      </c>
      <c r="AY82" s="60" t="s">
        <v>197</v>
      </c>
      <c r="AZ82" s="60" t="s">
        <v>198</v>
      </c>
      <c r="BA82" s="33" t="s">
        <v>63</v>
      </c>
      <c r="BC82" s="57">
        <f>AW82+AX82</f>
      </c>
      <c r="BD82" s="57">
        <f>H82/(100-BE82)*100</f>
      </c>
      <c r="BE82" s="57" t="n">
        <v>0</v>
      </c>
      <c r="BF82" s="57">
        <f>82</f>
      </c>
      <c r="BH82" s="57">
        <f>G82*AO82</f>
      </c>
      <c r="BI82" s="57">
        <f>G82*AP82</f>
      </c>
      <c r="BJ82" s="57">
        <f>G82*H82</f>
      </c>
      <c r="BK82" s="57"/>
      <c r="BL82" s="57"/>
      <c r="BW82" s="57" t="n">
        <v>21</v>
      </c>
      <c r="BX82" s="16" t="s">
        <v>206</v>
      </c>
    </row>
    <row r="83">
      <c r="A83" s="61"/>
      <c r="D83" s="62" t="s">
        <v>208</v>
      </c>
      <c r="E83" s="63" t="s">
        <v>51</v>
      </c>
      <c r="G83" s="64" t="n">
        <v>13</v>
      </c>
      <c r="L83" s="65"/>
    </row>
    <row r="84">
      <c r="A84" s="61"/>
      <c r="D84" s="62" t="s">
        <v>209</v>
      </c>
      <c r="E84" s="63" t="s">
        <v>51</v>
      </c>
      <c r="G84" s="64" t="n">
        <v>0.26</v>
      </c>
      <c r="L84" s="65"/>
    </row>
    <row r="85">
      <c r="A85" s="10" t="s">
        <v>210</v>
      </c>
      <c r="B85" s="11" t="s">
        <v>52</v>
      </c>
      <c r="C85" s="11" t="s">
        <v>211</v>
      </c>
      <c r="D85" s="16" t="s">
        <v>212</v>
      </c>
      <c r="E85" s="11"/>
      <c r="F85" s="11" t="s">
        <v>207</v>
      </c>
      <c r="G85" s="57" t="n">
        <v>5.1</v>
      </c>
      <c r="H85" s="58" t="n">
        <v>0</v>
      </c>
      <c r="I85" s="57">
        <f>G85*AO85</f>
      </c>
      <c r="J85" s="57">
        <f>G85*AP85</f>
      </c>
      <c r="K85" s="57">
        <f>G85*H85</f>
      </c>
      <c r="L85" s="59" t="s">
        <v>60</v>
      </c>
      <c r="Z85" s="57">
        <f>IF(AQ85="5",BJ85,0)</f>
      </c>
      <c r="AB85" s="57">
        <f>IF(AQ85="1",BH85,0)</f>
      </c>
      <c r="AC85" s="57">
        <f>IF(AQ85="1",BI85,0)</f>
      </c>
      <c r="AD85" s="57">
        <f>IF(AQ85="7",BH85,0)</f>
      </c>
      <c r="AE85" s="57">
        <f>IF(AQ85="7",BI85,0)</f>
      </c>
      <c r="AF85" s="57">
        <f>IF(AQ85="2",BH85,0)</f>
      </c>
      <c r="AG85" s="57">
        <f>IF(AQ85="2",BI85,0)</f>
      </c>
      <c r="AH85" s="57">
        <f>IF(AQ85="0",BJ85,0)</f>
      </c>
      <c r="AI85" s="33" t="s">
        <v>52</v>
      </c>
      <c r="AJ85" s="57">
        <f>IF(AN85=0,K85,0)</f>
      </c>
      <c r="AK85" s="57">
        <f>IF(AN85=12,K85,0)</f>
      </c>
      <c r="AL85" s="57">
        <f>IF(AN85=21,K85,0)</f>
      </c>
      <c r="AN85" s="57" t="n">
        <v>21</v>
      </c>
      <c r="AO85" s="57">
        <f>H85*1</f>
      </c>
      <c r="AP85" s="57">
        <f>H85*(1-1)</f>
      </c>
      <c r="AQ85" s="60" t="s">
        <v>196</v>
      </c>
      <c r="AV85" s="57">
        <f>AW85+AX85</f>
      </c>
      <c r="AW85" s="57">
        <f>G85*AO85</f>
      </c>
      <c r="AX85" s="57">
        <f>G85*AP85</f>
      </c>
      <c r="AY85" s="60" t="s">
        <v>197</v>
      </c>
      <c r="AZ85" s="60" t="s">
        <v>198</v>
      </c>
      <c r="BA85" s="33" t="s">
        <v>63</v>
      </c>
      <c r="BC85" s="57">
        <f>AW85+AX85</f>
      </c>
      <c r="BD85" s="57">
        <f>H85/(100-BE85)*100</f>
      </c>
      <c r="BE85" s="57" t="n">
        <v>0</v>
      </c>
      <c r="BF85" s="57">
        <f>85</f>
      </c>
      <c r="BH85" s="57">
        <f>G85*AO85</f>
      </c>
      <c r="BI85" s="57">
        <f>G85*AP85</f>
      </c>
      <c r="BJ85" s="57">
        <f>G85*H85</f>
      </c>
      <c r="BK85" s="57"/>
      <c r="BL85" s="57"/>
      <c r="BW85" s="57" t="n">
        <v>21</v>
      </c>
      <c r="BX85" s="16" t="s">
        <v>212</v>
      </c>
    </row>
    <row r="86">
      <c r="A86" s="61"/>
      <c r="D86" s="62" t="s">
        <v>89</v>
      </c>
      <c r="E86" s="63" t="s">
        <v>51</v>
      </c>
      <c r="G86" s="64" t="n">
        <v>5</v>
      </c>
      <c r="L86" s="65"/>
    </row>
    <row r="87">
      <c r="A87" s="61"/>
      <c r="D87" s="62" t="s">
        <v>213</v>
      </c>
      <c r="E87" s="63" t="s">
        <v>51</v>
      </c>
      <c r="G87" s="64" t="n">
        <v>0.1</v>
      </c>
      <c r="L87" s="65"/>
    </row>
    <row r="88">
      <c r="A88" s="10" t="s">
        <v>214</v>
      </c>
      <c r="B88" s="11" t="s">
        <v>52</v>
      </c>
      <c r="C88" s="11" t="s">
        <v>215</v>
      </c>
      <c r="D88" s="16" t="s">
        <v>216</v>
      </c>
      <c r="E88" s="11"/>
      <c r="F88" s="11" t="s">
        <v>207</v>
      </c>
      <c r="G88" s="57" t="n">
        <v>4488.75</v>
      </c>
      <c r="H88" s="58" t="n">
        <v>0</v>
      </c>
      <c r="I88" s="57">
        <f>G88*AO88</f>
      </c>
      <c r="J88" s="57">
        <f>G88*AP88</f>
      </c>
      <c r="K88" s="57">
        <f>G88*H88</f>
      </c>
      <c r="L88" s="59" t="s">
        <v>60</v>
      </c>
      <c r="Z88" s="57">
        <f>IF(AQ88="5",BJ88,0)</f>
      </c>
      <c r="AB88" s="57">
        <f>IF(AQ88="1",BH88,0)</f>
      </c>
      <c r="AC88" s="57">
        <f>IF(AQ88="1",BI88,0)</f>
      </c>
      <c r="AD88" s="57">
        <f>IF(AQ88="7",BH88,0)</f>
      </c>
      <c r="AE88" s="57">
        <f>IF(AQ88="7",BI88,0)</f>
      </c>
      <c r="AF88" s="57">
        <f>IF(AQ88="2",BH88,0)</f>
      </c>
      <c r="AG88" s="57">
        <f>IF(AQ88="2",BI88,0)</f>
      </c>
      <c r="AH88" s="57">
        <f>IF(AQ88="0",BJ88,0)</f>
      </c>
      <c r="AI88" s="33" t="s">
        <v>52</v>
      </c>
      <c r="AJ88" s="57">
        <f>IF(AN88=0,K88,0)</f>
      </c>
      <c r="AK88" s="57">
        <f>IF(AN88=12,K88,0)</f>
      </c>
      <c r="AL88" s="57">
        <f>IF(AN88=21,K88,0)</f>
      </c>
      <c r="AN88" s="57" t="n">
        <v>21</v>
      </c>
      <c r="AO88" s="57">
        <f>H88*1</f>
      </c>
      <c r="AP88" s="57">
        <f>H88*(1-1)</f>
      </c>
      <c r="AQ88" s="60" t="s">
        <v>196</v>
      </c>
      <c r="AV88" s="57">
        <f>AW88+AX88</f>
      </c>
      <c r="AW88" s="57">
        <f>G88*AO88</f>
      </c>
      <c r="AX88" s="57">
        <f>G88*AP88</f>
      </c>
      <c r="AY88" s="60" t="s">
        <v>197</v>
      </c>
      <c r="AZ88" s="60" t="s">
        <v>198</v>
      </c>
      <c r="BA88" s="33" t="s">
        <v>63</v>
      </c>
      <c r="BC88" s="57">
        <f>AW88+AX88</f>
      </c>
      <c r="BD88" s="57">
        <f>H88/(100-BE88)*100</f>
      </c>
      <c r="BE88" s="57" t="n">
        <v>0</v>
      </c>
      <c r="BF88" s="57">
        <f>88</f>
      </c>
      <c r="BH88" s="57">
        <f>G88*AO88</f>
      </c>
      <c r="BI88" s="57">
        <f>G88*AP88</f>
      </c>
      <c r="BJ88" s="57">
        <f>G88*H88</f>
      </c>
      <c r="BK88" s="57"/>
      <c r="BL88" s="57"/>
      <c r="BW88" s="57" t="n">
        <v>21</v>
      </c>
      <c r="BX88" s="16" t="s">
        <v>216</v>
      </c>
    </row>
    <row r="89">
      <c r="A89" s="61"/>
      <c r="D89" s="62" t="s">
        <v>217</v>
      </c>
      <c r="E89" s="63" t="s">
        <v>51</v>
      </c>
      <c r="G89" s="64" t="n">
        <v>4275</v>
      </c>
      <c r="L89" s="65"/>
    </row>
    <row r="90">
      <c r="A90" s="61"/>
      <c r="D90" s="62" t="s">
        <v>218</v>
      </c>
      <c r="E90" s="63" t="s">
        <v>51</v>
      </c>
      <c r="G90" s="64" t="n">
        <v>213.75</v>
      </c>
      <c r="L90" s="65"/>
    </row>
    <row r="91" customHeight="true" ht="54">
      <c r="A91" s="61"/>
      <c r="C91" s="71" t="s">
        <v>87</v>
      </c>
      <c r="D91" s="72" t="s">
        <v>219</v>
      </c>
      <c r="E91" s="73"/>
      <c r="F91" s="73"/>
      <c r="G91" s="73"/>
      <c r="H91" s="74"/>
      <c r="I91" s="73"/>
      <c r="J91" s="73"/>
      <c r="K91" s="73"/>
      <c r="L91" s="75"/>
    </row>
    <row r="92">
      <c r="A92" s="51" t="s">
        <v>51</v>
      </c>
      <c r="B92" s="52" t="s">
        <v>220</v>
      </c>
      <c r="C92" s="52" t="s">
        <v>51</v>
      </c>
      <c r="D92" s="53" t="s">
        <v>221</v>
      </c>
      <c r="E92" s="52"/>
      <c r="F92" s="54" t="s">
        <v>4</v>
      </c>
      <c r="G92" s="54" t="s">
        <v>4</v>
      </c>
      <c r="H92" s="55" t="s">
        <v>4</v>
      </c>
      <c r="I92" s="2">
        <f>I93+I100+I103+I110+I118+I124+I130+I133+I139+I145+I148+I161</f>
      </c>
      <c r="J92" s="2">
        <f>J93+J100+J103+J110+J118+J124+J130+J133+J139+J145+J148+J161</f>
      </c>
      <c r="K92" s="2">
        <f>K93+K100+K103+K110+K118+K124+K130+K133+K139+K145+K148+K161</f>
      </c>
      <c r="L92" s="56" t="s">
        <v>51</v>
      </c>
    </row>
    <row r="93">
      <c r="A93" s="51" t="s">
        <v>51</v>
      </c>
      <c r="B93" s="52" t="s">
        <v>220</v>
      </c>
      <c r="C93" s="52" t="s">
        <v>54</v>
      </c>
      <c r="D93" s="53" t="s">
        <v>55</v>
      </c>
      <c r="E93" s="52"/>
      <c r="F93" s="54" t="s">
        <v>4</v>
      </c>
      <c r="G93" s="54" t="s">
        <v>4</v>
      </c>
      <c r="H93" s="55" t="s">
        <v>4</v>
      </c>
      <c r="I93" s="2">
        <f>SUM(I94:I97)</f>
      </c>
      <c r="J93" s="2">
        <f>SUM(J94:J97)</f>
      </c>
      <c r="K93" s="2">
        <f>SUM(K94:K97)</f>
      </c>
      <c r="L93" s="56" t="s">
        <v>51</v>
      </c>
      <c r="AI93" s="33" t="s">
        <v>220</v>
      </c>
      <c r="AS93" s="2">
        <f>SUM(AJ94:AJ97)</f>
      </c>
      <c r="AT93" s="2">
        <f>SUM(AK94:AK97)</f>
      </c>
      <c r="AU93" s="2">
        <f>SUM(AL94:AL97)</f>
      </c>
    </row>
    <row r="94">
      <c r="A94" s="10" t="s">
        <v>222</v>
      </c>
      <c r="B94" s="11" t="s">
        <v>220</v>
      </c>
      <c r="C94" s="11" t="s">
        <v>223</v>
      </c>
      <c r="D94" s="16" t="s">
        <v>224</v>
      </c>
      <c r="E94" s="11"/>
      <c r="F94" s="11" t="s">
        <v>59</v>
      </c>
      <c r="G94" s="57" t="n">
        <v>504.3</v>
      </c>
      <c r="H94" s="58" t="n">
        <v>0</v>
      </c>
      <c r="I94" s="57">
        <f>G94*AO94</f>
      </c>
      <c r="J94" s="57">
        <f>G94*AP94</f>
      </c>
      <c r="K94" s="57">
        <f>G94*H94</f>
      </c>
      <c r="L94" s="59" t="s">
        <v>60</v>
      </c>
      <c r="Z94" s="57">
        <f>IF(AQ94="5",BJ94,0)</f>
      </c>
      <c r="AB94" s="57">
        <f>IF(AQ94="1",BH94,0)</f>
      </c>
      <c r="AC94" s="57">
        <f>IF(AQ94="1",BI94,0)</f>
      </c>
      <c r="AD94" s="57">
        <f>IF(AQ94="7",BH94,0)</f>
      </c>
      <c r="AE94" s="57">
        <f>IF(AQ94="7",BI94,0)</f>
      </c>
      <c r="AF94" s="57">
        <f>IF(AQ94="2",BH94,0)</f>
      </c>
      <c r="AG94" s="57">
        <f>IF(AQ94="2",BI94,0)</f>
      </c>
      <c r="AH94" s="57">
        <f>IF(AQ94="0",BJ94,0)</f>
      </c>
      <c r="AI94" s="33" t="s">
        <v>220</v>
      </c>
      <c r="AJ94" s="57">
        <f>IF(AN94=0,K94,0)</f>
      </c>
      <c r="AK94" s="57">
        <f>IF(AN94=12,K94,0)</f>
      </c>
      <c r="AL94" s="57">
        <f>IF(AN94=21,K94,0)</f>
      </c>
      <c r="AN94" s="57" t="n">
        <v>21</v>
      </c>
      <c r="AO94" s="57">
        <f>H94*0</f>
      </c>
      <c r="AP94" s="57">
        <f>H94*(1-0)</f>
      </c>
      <c r="AQ94" s="60" t="s">
        <v>56</v>
      </c>
      <c r="AV94" s="57">
        <f>AW94+AX94</f>
      </c>
      <c r="AW94" s="57">
        <f>G94*AO94</f>
      </c>
      <c r="AX94" s="57">
        <f>G94*AP94</f>
      </c>
      <c r="AY94" s="60" t="s">
        <v>61</v>
      </c>
      <c r="AZ94" s="60" t="s">
        <v>225</v>
      </c>
      <c r="BA94" s="33" t="s">
        <v>226</v>
      </c>
      <c r="BC94" s="57">
        <f>AW94+AX94</f>
      </c>
      <c r="BD94" s="57">
        <f>H94/(100-BE94)*100</f>
      </c>
      <c r="BE94" s="57" t="n">
        <v>0</v>
      </c>
      <c r="BF94" s="57">
        <f>94</f>
      </c>
      <c r="BH94" s="57">
        <f>G94*AO94</f>
      </c>
      <c r="BI94" s="57">
        <f>G94*AP94</f>
      </c>
      <c r="BJ94" s="57">
        <f>G94*H94</f>
      </c>
      <c r="BK94" s="57"/>
      <c r="BL94" s="57" t="n">
        <v>11</v>
      </c>
      <c r="BW94" s="57" t="n">
        <v>21</v>
      </c>
      <c r="BX94" s="16" t="s">
        <v>224</v>
      </c>
    </row>
    <row r="95" customHeight="true" ht="13.5">
      <c r="A95" s="61"/>
      <c r="C95" s="66" t="s">
        <v>69</v>
      </c>
      <c r="D95" s="67" t="s">
        <v>227</v>
      </c>
      <c r="E95" s="68"/>
      <c r="F95" s="68"/>
      <c r="G95" s="68"/>
      <c r="H95" s="69"/>
      <c r="I95" s="68"/>
      <c r="J95" s="68"/>
      <c r="K95" s="68"/>
      <c r="L95" s="70"/>
    </row>
    <row r="96">
      <c r="A96" s="61"/>
      <c r="D96" s="62" t="s">
        <v>228</v>
      </c>
      <c r="E96" s="63" t="s">
        <v>51</v>
      </c>
      <c r="G96" s="64" t="n">
        <v>504.3</v>
      </c>
      <c r="L96" s="65"/>
    </row>
    <row r="97">
      <c r="A97" s="10" t="s">
        <v>229</v>
      </c>
      <c r="B97" s="11" t="s">
        <v>220</v>
      </c>
      <c r="C97" s="11" t="s">
        <v>66</v>
      </c>
      <c r="D97" s="16" t="s">
        <v>67</v>
      </c>
      <c r="E97" s="11"/>
      <c r="F97" s="11" t="s">
        <v>68</v>
      </c>
      <c r="G97" s="57" t="n">
        <v>28</v>
      </c>
      <c r="H97" s="58" t="n">
        <v>0</v>
      </c>
      <c r="I97" s="57">
        <f>G97*AO97</f>
      </c>
      <c r="J97" s="57">
        <f>G97*AP97</f>
      </c>
      <c r="K97" s="57">
        <f>G97*H97</f>
      </c>
      <c r="L97" s="59" t="s">
        <v>60</v>
      </c>
      <c r="Z97" s="57">
        <f>IF(AQ97="5",BJ97,0)</f>
      </c>
      <c r="AB97" s="57">
        <f>IF(AQ97="1",BH97,0)</f>
      </c>
      <c r="AC97" s="57">
        <f>IF(AQ97="1",BI97,0)</f>
      </c>
      <c r="AD97" s="57">
        <f>IF(AQ97="7",BH97,0)</f>
      </c>
      <c r="AE97" s="57">
        <f>IF(AQ97="7",BI97,0)</f>
      </c>
      <c r="AF97" s="57">
        <f>IF(AQ97="2",BH97,0)</f>
      </c>
      <c r="AG97" s="57">
        <f>IF(AQ97="2",BI97,0)</f>
      </c>
      <c r="AH97" s="57">
        <f>IF(AQ97="0",BJ97,0)</f>
      </c>
      <c r="AI97" s="33" t="s">
        <v>220</v>
      </c>
      <c r="AJ97" s="57">
        <f>IF(AN97=0,K97,0)</f>
      </c>
      <c r="AK97" s="57">
        <f>IF(AN97=12,K97,0)</f>
      </c>
      <c r="AL97" s="57">
        <f>IF(AN97=21,K97,0)</f>
      </c>
      <c r="AN97" s="57" t="n">
        <v>21</v>
      </c>
      <c r="AO97" s="57">
        <f>H97*0</f>
      </c>
      <c r="AP97" s="57">
        <f>H97*(1-0)</f>
      </c>
      <c r="AQ97" s="60" t="s">
        <v>56</v>
      </c>
      <c r="AV97" s="57">
        <f>AW97+AX97</f>
      </c>
      <c r="AW97" s="57">
        <f>G97*AO97</f>
      </c>
      <c r="AX97" s="57">
        <f>G97*AP97</f>
      </c>
      <c r="AY97" s="60" t="s">
        <v>61</v>
      </c>
      <c r="AZ97" s="60" t="s">
        <v>225</v>
      </c>
      <c r="BA97" s="33" t="s">
        <v>226</v>
      </c>
      <c r="BC97" s="57">
        <f>AW97+AX97</f>
      </c>
      <c r="BD97" s="57">
        <f>H97/(100-BE97)*100</f>
      </c>
      <c r="BE97" s="57" t="n">
        <v>0</v>
      </c>
      <c r="BF97" s="57">
        <f>97</f>
      </c>
      <c r="BH97" s="57">
        <f>G97*AO97</f>
      </c>
      <c r="BI97" s="57">
        <f>G97*AP97</f>
      </c>
      <c r="BJ97" s="57">
        <f>G97*H97</f>
      </c>
      <c r="BK97" s="57"/>
      <c r="BL97" s="57" t="n">
        <v>11</v>
      </c>
      <c r="BW97" s="57" t="n">
        <v>21</v>
      </c>
      <c r="BX97" s="16" t="s">
        <v>67</v>
      </c>
    </row>
    <row r="98" customHeight="true" ht="13.5">
      <c r="A98" s="61"/>
      <c r="C98" s="66" t="s">
        <v>69</v>
      </c>
      <c r="D98" s="67" t="s">
        <v>70</v>
      </c>
      <c r="E98" s="68"/>
      <c r="F98" s="68"/>
      <c r="G98" s="68"/>
      <c r="H98" s="69"/>
      <c r="I98" s="68"/>
      <c r="J98" s="68"/>
      <c r="K98" s="68"/>
      <c r="L98" s="70"/>
    </row>
    <row r="99">
      <c r="A99" s="61"/>
      <c r="D99" s="62" t="s">
        <v>71</v>
      </c>
      <c r="E99" s="63" t="s">
        <v>51</v>
      </c>
      <c r="G99" s="64" t="n">
        <v>28</v>
      </c>
      <c r="L99" s="65"/>
    </row>
    <row r="100">
      <c r="A100" s="51" t="s">
        <v>51</v>
      </c>
      <c r="B100" s="52" t="s">
        <v>220</v>
      </c>
      <c r="C100" s="52" t="s">
        <v>72</v>
      </c>
      <c r="D100" s="53" t="s">
        <v>73</v>
      </c>
      <c r="E100" s="52"/>
      <c r="F100" s="54" t="s">
        <v>4</v>
      </c>
      <c r="G100" s="54" t="s">
        <v>4</v>
      </c>
      <c r="H100" s="55" t="s">
        <v>4</v>
      </c>
      <c r="I100" s="2">
        <f>SUM(I101:I101)</f>
      </c>
      <c r="J100" s="2">
        <f>SUM(J101:J101)</f>
      </c>
      <c r="K100" s="2">
        <f>SUM(K101:K101)</f>
      </c>
      <c r="L100" s="56" t="s">
        <v>51</v>
      </c>
      <c r="AI100" s="33" t="s">
        <v>220</v>
      </c>
      <c r="AS100" s="2">
        <f>SUM(AJ101:AJ101)</f>
      </c>
      <c r="AT100" s="2">
        <f>SUM(AK101:AK101)</f>
      </c>
      <c r="AU100" s="2">
        <f>SUM(AL101:AL101)</f>
      </c>
    </row>
    <row r="101">
      <c r="A101" s="10" t="s">
        <v>230</v>
      </c>
      <c r="B101" s="11" t="s">
        <v>220</v>
      </c>
      <c r="C101" s="11" t="s">
        <v>75</v>
      </c>
      <c r="D101" s="16" t="s">
        <v>76</v>
      </c>
      <c r="E101" s="11"/>
      <c r="F101" s="11" t="s">
        <v>77</v>
      </c>
      <c r="G101" s="57" t="n">
        <v>1.5</v>
      </c>
      <c r="H101" s="58" t="n">
        <v>0</v>
      </c>
      <c r="I101" s="57">
        <f>G101*AO101</f>
      </c>
      <c r="J101" s="57">
        <f>G101*AP101</f>
      </c>
      <c r="K101" s="57">
        <f>G101*H101</f>
      </c>
      <c r="L101" s="59" t="s">
        <v>60</v>
      </c>
      <c r="Z101" s="57">
        <f>IF(AQ101="5",BJ101,0)</f>
      </c>
      <c r="AB101" s="57">
        <f>IF(AQ101="1",BH101,0)</f>
      </c>
      <c r="AC101" s="57">
        <f>IF(AQ101="1",BI101,0)</f>
      </c>
      <c r="AD101" s="57">
        <f>IF(AQ101="7",BH101,0)</f>
      </c>
      <c r="AE101" s="57">
        <f>IF(AQ101="7",BI101,0)</f>
      </c>
      <c r="AF101" s="57">
        <f>IF(AQ101="2",BH101,0)</f>
      </c>
      <c r="AG101" s="57">
        <f>IF(AQ101="2",BI101,0)</f>
      </c>
      <c r="AH101" s="57">
        <f>IF(AQ101="0",BJ101,0)</f>
      </c>
      <c r="AI101" s="33" t="s">
        <v>220</v>
      </c>
      <c r="AJ101" s="57">
        <f>IF(AN101=0,K101,0)</f>
      </c>
      <c r="AK101" s="57">
        <f>IF(AN101=12,K101,0)</f>
      </c>
      <c r="AL101" s="57">
        <f>IF(AN101=21,K101,0)</f>
      </c>
      <c r="AN101" s="57" t="n">
        <v>21</v>
      </c>
      <c r="AO101" s="57">
        <f>H101*0</f>
      </c>
      <c r="AP101" s="57">
        <f>H101*(1-0)</f>
      </c>
      <c r="AQ101" s="60" t="s">
        <v>56</v>
      </c>
      <c r="AV101" s="57">
        <f>AW101+AX101</f>
      </c>
      <c r="AW101" s="57">
        <f>G101*AO101</f>
      </c>
      <c r="AX101" s="57">
        <f>G101*AP101</f>
      </c>
      <c r="AY101" s="60" t="s">
        <v>78</v>
      </c>
      <c r="AZ101" s="60" t="s">
        <v>225</v>
      </c>
      <c r="BA101" s="33" t="s">
        <v>226</v>
      </c>
      <c r="BC101" s="57">
        <f>AW101+AX101</f>
      </c>
      <c r="BD101" s="57">
        <f>H101/(100-BE101)*100</f>
      </c>
      <c r="BE101" s="57" t="n">
        <v>0</v>
      </c>
      <c r="BF101" s="57">
        <f>101</f>
      </c>
      <c r="BH101" s="57">
        <f>G101*AO101</f>
      </c>
      <c r="BI101" s="57">
        <f>G101*AP101</f>
      </c>
      <c r="BJ101" s="57">
        <f>G101*H101</f>
      </c>
      <c r="BK101" s="57"/>
      <c r="BL101" s="57" t="n">
        <v>12</v>
      </c>
      <c r="BW101" s="57" t="n">
        <v>21</v>
      </c>
      <c r="BX101" s="16" t="s">
        <v>76</v>
      </c>
    </row>
    <row r="102">
      <c r="A102" s="61"/>
      <c r="D102" s="62" t="s">
        <v>231</v>
      </c>
      <c r="E102" s="63" t="s">
        <v>51</v>
      </c>
      <c r="G102" s="64" t="n">
        <v>1.5</v>
      </c>
      <c r="L102" s="65"/>
    </row>
    <row r="103">
      <c r="A103" s="51" t="s">
        <v>51</v>
      </c>
      <c r="B103" s="52" t="s">
        <v>220</v>
      </c>
      <c r="C103" s="52" t="s">
        <v>80</v>
      </c>
      <c r="D103" s="53" t="s">
        <v>81</v>
      </c>
      <c r="E103" s="52"/>
      <c r="F103" s="54" t="s">
        <v>4</v>
      </c>
      <c r="G103" s="54" t="s">
        <v>4</v>
      </c>
      <c r="H103" s="55" t="s">
        <v>4</v>
      </c>
      <c r="I103" s="2">
        <f>SUM(I104:I109)</f>
      </c>
      <c r="J103" s="2">
        <f>SUM(J104:J109)</f>
      </c>
      <c r="K103" s="2">
        <f>SUM(K104:K109)</f>
      </c>
      <c r="L103" s="56" t="s">
        <v>51</v>
      </c>
      <c r="AI103" s="33" t="s">
        <v>220</v>
      </c>
      <c r="AS103" s="2">
        <f>SUM(AJ104:AJ109)</f>
      </c>
      <c r="AT103" s="2">
        <f>SUM(AK104:AK109)</f>
      </c>
      <c r="AU103" s="2">
        <f>SUM(AL104:AL109)</f>
      </c>
    </row>
    <row r="104">
      <c r="A104" s="10" t="s">
        <v>232</v>
      </c>
      <c r="B104" s="11" t="s">
        <v>220</v>
      </c>
      <c r="C104" s="11" t="s">
        <v>83</v>
      </c>
      <c r="D104" s="16" t="s">
        <v>84</v>
      </c>
      <c r="E104" s="11"/>
      <c r="F104" s="11" t="s">
        <v>77</v>
      </c>
      <c r="G104" s="57" t="n">
        <v>3</v>
      </c>
      <c r="H104" s="58" t="n">
        <v>0</v>
      </c>
      <c r="I104" s="57">
        <f>G104*AO104</f>
      </c>
      <c r="J104" s="57">
        <f>G104*AP104</f>
      </c>
      <c r="K104" s="57">
        <f>G104*H104</f>
      </c>
      <c r="L104" s="59" t="s">
        <v>60</v>
      </c>
      <c r="Z104" s="57">
        <f>IF(AQ104="5",BJ104,0)</f>
      </c>
      <c r="AB104" s="57">
        <f>IF(AQ104="1",BH104,0)</f>
      </c>
      <c r="AC104" s="57">
        <f>IF(AQ104="1",BI104,0)</f>
      </c>
      <c r="AD104" s="57">
        <f>IF(AQ104="7",BH104,0)</f>
      </c>
      <c r="AE104" s="57">
        <f>IF(AQ104="7",BI104,0)</f>
      </c>
      <c r="AF104" s="57">
        <f>IF(AQ104="2",BH104,0)</f>
      </c>
      <c r="AG104" s="57">
        <f>IF(AQ104="2",BI104,0)</f>
      </c>
      <c r="AH104" s="57">
        <f>IF(AQ104="0",BJ104,0)</f>
      </c>
      <c r="AI104" s="33" t="s">
        <v>220</v>
      </c>
      <c r="AJ104" s="57">
        <f>IF(AN104=0,K104,0)</f>
      </c>
      <c r="AK104" s="57">
        <f>IF(AN104=12,K104,0)</f>
      </c>
      <c r="AL104" s="57">
        <f>IF(AN104=21,K104,0)</f>
      </c>
      <c r="AN104" s="57" t="n">
        <v>21</v>
      </c>
      <c r="AO104" s="57">
        <f>H104*0</f>
      </c>
      <c r="AP104" s="57">
        <f>H104*(1-0)</f>
      </c>
      <c r="AQ104" s="60" t="s">
        <v>56</v>
      </c>
      <c r="AV104" s="57">
        <f>AW104+AX104</f>
      </c>
      <c r="AW104" s="57">
        <f>G104*AO104</f>
      </c>
      <c r="AX104" s="57">
        <f>G104*AP104</f>
      </c>
      <c r="AY104" s="60" t="s">
        <v>85</v>
      </c>
      <c r="AZ104" s="60" t="s">
        <v>225</v>
      </c>
      <c r="BA104" s="33" t="s">
        <v>226</v>
      </c>
      <c r="BC104" s="57">
        <f>AW104+AX104</f>
      </c>
      <c r="BD104" s="57">
        <f>H104/(100-BE104)*100</f>
      </c>
      <c r="BE104" s="57" t="n">
        <v>0</v>
      </c>
      <c r="BF104" s="57">
        <f>104</f>
      </c>
      <c r="BH104" s="57">
        <f>G104*AO104</f>
      </c>
      <c r="BI104" s="57">
        <f>G104*AP104</f>
      </c>
      <c r="BJ104" s="57">
        <f>G104*H104</f>
      </c>
      <c r="BK104" s="57"/>
      <c r="BL104" s="57" t="n">
        <v>16</v>
      </c>
      <c r="BW104" s="57" t="n">
        <v>21</v>
      </c>
      <c r="BX104" s="16" t="s">
        <v>84</v>
      </c>
    </row>
    <row r="105">
      <c r="A105" s="61"/>
      <c r="D105" s="62" t="s">
        <v>233</v>
      </c>
      <c r="E105" s="63" t="s">
        <v>51</v>
      </c>
      <c r="G105" s="64" t="n">
        <v>3</v>
      </c>
      <c r="L105" s="65"/>
    </row>
    <row r="106" customHeight="true" ht="13.5">
      <c r="A106" s="61"/>
      <c r="C106" s="71" t="s">
        <v>87</v>
      </c>
      <c r="D106" s="72" t="s">
        <v>88</v>
      </c>
      <c r="E106" s="73"/>
      <c r="F106" s="73"/>
      <c r="G106" s="73"/>
      <c r="H106" s="74"/>
      <c r="I106" s="73"/>
      <c r="J106" s="73"/>
      <c r="K106" s="73"/>
      <c r="L106" s="75"/>
    </row>
    <row r="107">
      <c r="A107" s="10" t="s">
        <v>234</v>
      </c>
      <c r="B107" s="11" t="s">
        <v>220</v>
      </c>
      <c r="C107" s="11" t="s">
        <v>90</v>
      </c>
      <c r="D107" s="16" t="s">
        <v>91</v>
      </c>
      <c r="E107" s="11"/>
      <c r="F107" s="11" t="s">
        <v>77</v>
      </c>
      <c r="G107" s="57" t="n">
        <v>15</v>
      </c>
      <c r="H107" s="58" t="n">
        <v>0</v>
      </c>
      <c r="I107" s="57">
        <f>G107*AO107</f>
      </c>
      <c r="J107" s="57">
        <f>G107*AP107</f>
      </c>
      <c r="K107" s="57">
        <f>G107*H107</f>
      </c>
      <c r="L107" s="59" t="s">
        <v>60</v>
      </c>
      <c r="Z107" s="57">
        <f>IF(AQ107="5",BJ107,0)</f>
      </c>
      <c r="AB107" s="57">
        <f>IF(AQ107="1",BH107,0)</f>
      </c>
      <c r="AC107" s="57">
        <f>IF(AQ107="1",BI107,0)</f>
      </c>
      <c r="AD107" s="57">
        <f>IF(AQ107="7",BH107,0)</f>
      </c>
      <c r="AE107" s="57">
        <f>IF(AQ107="7",BI107,0)</f>
      </c>
      <c r="AF107" s="57">
        <f>IF(AQ107="2",BH107,0)</f>
      </c>
      <c r="AG107" s="57">
        <f>IF(AQ107="2",BI107,0)</f>
      </c>
      <c r="AH107" s="57">
        <f>IF(AQ107="0",BJ107,0)</f>
      </c>
      <c r="AI107" s="33" t="s">
        <v>220</v>
      </c>
      <c r="AJ107" s="57">
        <f>IF(AN107=0,K107,0)</f>
      </c>
      <c r="AK107" s="57">
        <f>IF(AN107=12,K107,0)</f>
      </c>
      <c r="AL107" s="57">
        <f>IF(AN107=21,K107,0)</f>
      </c>
      <c r="AN107" s="57" t="n">
        <v>21</v>
      </c>
      <c r="AO107" s="57">
        <f>H107*0</f>
      </c>
      <c r="AP107" s="57">
        <f>H107*(1-0)</f>
      </c>
      <c r="AQ107" s="60" t="s">
        <v>56</v>
      </c>
      <c r="AV107" s="57">
        <f>AW107+AX107</f>
      </c>
      <c r="AW107" s="57">
        <f>G107*AO107</f>
      </c>
      <c r="AX107" s="57">
        <f>G107*AP107</f>
      </c>
      <c r="AY107" s="60" t="s">
        <v>85</v>
      </c>
      <c r="AZ107" s="60" t="s">
        <v>225</v>
      </c>
      <c r="BA107" s="33" t="s">
        <v>226</v>
      </c>
      <c r="BC107" s="57">
        <f>AW107+AX107</f>
      </c>
      <c r="BD107" s="57">
        <f>H107/(100-BE107)*100</f>
      </c>
      <c r="BE107" s="57" t="n">
        <v>0</v>
      </c>
      <c r="BF107" s="57">
        <f>107</f>
      </c>
      <c r="BH107" s="57">
        <f>G107*AO107</f>
      </c>
      <c r="BI107" s="57">
        <f>G107*AP107</f>
      </c>
      <c r="BJ107" s="57">
        <f>G107*H107</f>
      </c>
      <c r="BK107" s="57"/>
      <c r="BL107" s="57" t="n">
        <v>16</v>
      </c>
      <c r="BW107" s="57" t="n">
        <v>21</v>
      </c>
      <c r="BX107" s="16" t="s">
        <v>91</v>
      </c>
    </row>
    <row r="108">
      <c r="A108" s="61"/>
      <c r="D108" s="62" t="s">
        <v>235</v>
      </c>
      <c r="E108" s="63" t="s">
        <v>51</v>
      </c>
      <c r="G108" s="64" t="n">
        <v>15</v>
      </c>
      <c r="L108" s="65"/>
    </row>
    <row r="109">
      <c r="A109" s="10" t="s">
        <v>236</v>
      </c>
      <c r="B109" s="11" t="s">
        <v>220</v>
      </c>
      <c r="C109" s="11" t="s">
        <v>94</v>
      </c>
      <c r="D109" s="16" t="s">
        <v>95</v>
      </c>
      <c r="E109" s="11"/>
      <c r="F109" s="11" t="s">
        <v>77</v>
      </c>
      <c r="G109" s="57" t="n">
        <v>3</v>
      </c>
      <c r="H109" s="58" t="n">
        <v>0</v>
      </c>
      <c r="I109" s="57">
        <f>G109*AO109</f>
      </c>
      <c r="J109" s="57">
        <f>G109*AP109</f>
      </c>
      <c r="K109" s="57">
        <f>G109*H109</f>
      </c>
      <c r="L109" s="59" t="s">
        <v>60</v>
      </c>
      <c r="Z109" s="57">
        <f>IF(AQ109="5",BJ109,0)</f>
      </c>
      <c r="AB109" s="57">
        <f>IF(AQ109="1",BH109,0)</f>
      </c>
      <c r="AC109" s="57">
        <f>IF(AQ109="1",BI109,0)</f>
      </c>
      <c r="AD109" s="57">
        <f>IF(AQ109="7",BH109,0)</f>
      </c>
      <c r="AE109" s="57">
        <f>IF(AQ109="7",BI109,0)</f>
      </c>
      <c r="AF109" s="57">
        <f>IF(AQ109="2",BH109,0)</f>
      </c>
      <c r="AG109" s="57">
        <f>IF(AQ109="2",BI109,0)</f>
      </c>
      <c r="AH109" s="57">
        <f>IF(AQ109="0",BJ109,0)</f>
      </c>
      <c r="AI109" s="33" t="s">
        <v>220</v>
      </c>
      <c r="AJ109" s="57">
        <f>IF(AN109=0,K109,0)</f>
      </c>
      <c r="AK109" s="57">
        <f>IF(AN109=12,K109,0)</f>
      </c>
      <c r="AL109" s="57">
        <f>IF(AN109=21,K109,0)</f>
      </c>
      <c r="AN109" s="57" t="n">
        <v>21</v>
      </c>
      <c r="AO109" s="57">
        <f>H109*0</f>
      </c>
      <c r="AP109" s="57">
        <f>H109*(1-0)</f>
      </c>
      <c r="AQ109" s="60" t="s">
        <v>56</v>
      </c>
      <c r="AV109" s="57">
        <f>AW109+AX109</f>
      </c>
      <c r="AW109" s="57">
        <f>G109*AO109</f>
      </c>
      <c r="AX109" s="57">
        <f>G109*AP109</f>
      </c>
      <c r="AY109" s="60" t="s">
        <v>85</v>
      </c>
      <c r="AZ109" s="60" t="s">
        <v>225</v>
      </c>
      <c r="BA109" s="33" t="s">
        <v>226</v>
      </c>
      <c r="BC109" s="57">
        <f>AW109+AX109</f>
      </c>
      <c r="BD109" s="57">
        <f>H109/(100-BE109)*100</f>
      </c>
      <c r="BE109" s="57" t="n">
        <v>0</v>
      </c>
      <c r="BF109" s="57">
        <f>109</f>
      </c>
      <c r="BH109" s="57">
        <f>G109*AO109</f>
      </c>
      <c r="BI109" s="57">
        <f>G109*AP109</f>
      </c>
      <c r="BJ109" s="57">
        <f>G109*H109</f>
      </c>
      <c r="BK109" s="57"/>
      <c r="BL109" s="57" t="n">
        <v>16</v>
      </c>
      <c r="BW109" s="57" t="n">
        <v>21</v>
      </c>
      <c r="BX109" s="16" t="s">
        <v>95</v>
      </c>
    </row>
    <row r="110">
      <c r="A110" s="51" t="s">
        <v>51</v>
      </c>
      <c r="B110" s="52" t="s">
        <v>220</v>
      </c>
      <c r="C110" s="52" t="s">
        <v>97</v>
      </c>
      <c r="D110" s="53" t="s">
        <v>98</v>
      </c>
      <c r="E110" s="52"/>
      <c r="F110" s="54" t="s">
        <v>4</v>
      </c>
      <c r="G110" s="54" t="s">
        <v>4</v>
      </c>
      <c r="H110" s="55" t="s">
        <v>4</v>
      </c>
      <c r="I110" s="2">
        <f>SUM(I111:I115)</f>
      </c>
      <c r="J110" s="2">
        <f>SUM(J111:J115)</f>
      </c>
      <c r="K110" s="2">
        <f>SUM(K111:K115)</f>
      </c>
      <c r="L110" s="56" t="s">
        <v>51</v>
      </c>
      <c r="AI110" s="33" t="s">
        <v>220</v>
      </c>
      <c r="AS110" s="2">
        <f>SUM(AJ111:AJ115)</f>
      </c>
      <c r="AT110" s="2">
        <f>SUM(AK111:AK115)</f>
      </c>
      <c r="AU110" s="2">
        <f>SUM(AL111:AL115)</f>
      </c>
    </row>
    <row r="111">
      <c r="A111" s="10" t="s">
        <v>237</v>
      </c>
      <c r="B111" s="11" t="s">
        <v>220</v>
      </c>
      <c r="C111" s="11" t="s">
        <v>100</v>
      </c>
      <c r="D111" s="16" t="s">
        <v>101</v>
      </c>
      <c r="E111" s="11"/>
      <c r="F111" s="11" t="s">
        <v>77</v>
      </c>
      <c r="G111" s="57" t="n">
        <v>1.5</v>
      </c>
      <c r="H111" s="58" t="n">
        <v>0</v>
      </c>
      <c r="I111" s="57">
        <f>G111*AO111</f>
      </c>
      <c r="J111" s="57">
        <f>G111*AP111</f>
      </c>
      <c r="K111" s="57">
        <f>G111*H111</f>
      </c>
      <c r="L111" s="59" t="s">
        <v>60</v>
      </c>
      <c r="Z111" s="57">
        <f>IF(AQ111="5",BJ111,0)</f>
      </c>
      <c r="AB111" s="57">
        <f>IF(AQ111="1",BH111,0)</f>
      </c>
      <c r="AC111" s="57">
        <f>IF(AQ111="1",BI111,0)</f>
      </c>
      <c r="AD111" s="57">
        <f>IF(AQ111="7",BH111,0)</f>
      </c>
      <c r="AE111" s="57">
        <f>IF(AQ111="7",BI111,0)</f>
      </c>
      <c r="AF111" s="57">
        <f>IF(AQ111="2",BH111,0)</f>
      </c>
      <c r="AG111" s="57">
        <f>IF(AQ111="2",BI111,0)</f>
      </c>
      <c r="AH111" s="57">
        <f>IF(AQ111="0",BJ111,0)</f>
      </c>
      <c r="AI111" s="33" t="s">
        <v>220</v>
      </c>
      <c r="AJ111" s="57">
        <f>IF(AN111=0,K111,0)</f>
      </c>
      <c r="AK111" s="57">
        <f>IF(AN111=12,K111,0)</f>
      </c>
      <c r="AL111" s="57">
        <f>IF(AN111=21,K111,0)</f>
      </c>
      <c r="AN111" s="57" t="n">
        <v>21</v>
      </c>
      <c r="AO111" s="57">
        <f>H111*0</f>
      </c>
      <c r="AP111" s="57">
        <f>H111*(1-0)</f>
      </c>
      <c r="AQ111" s="60" t="s">
        <v>56</v>
      </c>
      <c r="AV111" s="57">
        <f>AW111+AX111</f>
      </c>
      <c r="AW111" s="57">
        <f>G111*AO111</f>
      </c>
      <c r="AX111" s="57">
        <f>G111*AP111</f>
      </c>
      <c r="AY111" s="60" t="s">
        <v>102</v>
      </c>
      <c r="AZ111" s="60" t="s">
        <v>225</v>
      </c>
      <c r="BA111" s="33" t="s">
        <v>226</v>
      </c>
      <c r="BC111" s="57">
        <f>AW111+AX111</f>
      </c>
      <c r="BD111" s="57">
        <f>H111/(100-BE111)*100</f>
      </c>
      <c r="BE111" s="57" t="n">
        <v>0</v>
      </c>
      <c r="BF111" s="57">
        <f>111</f>
      </c>
      <c r="BH111" s="57">
        <f>G111*AO111</f>
      </c>
      <c r="BI111" s="57">
        <f>G111*AP111</f>
      </c>
      <c r="BJ111" s="57">
        <f>G111*H111</f>
      </c>
      <c r="BK111" s="57"/>
      <c r="BL111" s="57" t="n">
        <v>17</v>
      </c>
      <c r="BW111" s="57" t="n">
        <v>21</v>
      </c>
      <c r="BX111" s="16" t="s">
        <v>101</v>
      </c>
    </row>
    <row r="112" customHeight="true" ht="13.5">
      <c r="A112" s="61"/>
      <c r="C112" s="66" t="s">
        <v>69</v>
      </c>
      <c r="D112" s="67" t="s">
        <v>103</v>
      </c>
      <c r="E112" s="68"/>
      <c r="F112" s="68"/>
      <c r="G112" s="68"/>
      <c r="H112" s="69"/>
      <c r="I112" s="68"/>
      <c r="J112" s="68"/>
      <c r="K112" s="68"/>
      <c r="L112" s="70"/>
    </row>
    <row r="113">
      <c r="A113" s="61"/>
      <c r="D113" s="62" t="s">
        <v>238</v>
      </c>
      <c r="E113" s="63" t="s">
        <v>51</v>
      </c>
      <c r="G113" s="64" t="n">
        <v>1.5</v>
      </c>
      <c r="L113" s="65"/>
    </row>
    <row r="114" customHeight="true" ht="13.5">
      <c r="A114" s="61"/>
      <c r="C114" s="71" t="s">
        <v>87</v>
      </c>
      <c r="D114" s="72" t="s">
        <v>105</v>
      </c>
      <c r="E114" s="73"/>
      <c r="F114" s="73"/>
      <c r="G114" s="73"/>
      <c r="H114" s="74"/>
      <c r="I114" s="73"/>
      <c r="J114" s="73"/>
      <c r="K114" s="73"/>
      <c r="L114" s="75"/>
    </row>
    <row r="115">
      <c r="A115" s="10" t="s">
        <v>239</v>
      </c>
      <c r="B115" s="11" t="s">
        <v>220</v>
      </c>
      <c r="C115" s="11" t="s">
        <v>107</v>
      </c>
      <c r="D115" s="16" t="s">
        <v>108</v>
      </c>
      <c r="E115" s="11"/>
      <c r="F115" s="11" t="s">
        <v>77</v>
      </c>
      <c r="G115" s="57" t="n">
        <v>1.62</v>
      </c>
      <c r="H115" s="58" t="n">
        <v>0</v>
      </c>
      <c r="I115" s="57">
        <f>G115*AO115</f>
      </c>
      <c r="J115" s="57">
        <f>G115*AP115</f>
      </c>
      <c r="K115" s="57">
        <f>G115*H115</f>
      </c>
      <c r="L115" s="59" t="s">
        <v>60</v>
      </c>
      <c r="Z115" s="57">
        <f>IF(AQ115="5",BJ115,0)</f>
      </c>
      <c r="AB115" s="57">
        <f>IF(AQ115="1",BH115,0)</f>
      </c>
      <c r="AC115" s="57">
        <f>IF(AQ115="1",BI115,0)</f>
      </c>
      <c r="AD115" s="57">
        <f>IF(AQ115="7",BH115,0)</f>
      </c>
      <c r="AE115" s="57">
        <f>IF(AQ115="7",BI115,0)</f>
      </c>
      <c r="AF115" s="57">
        <f>IF(AQ115="2",BH115,0)</f>
      </c>
      <c r="AG115" s="57">
        <f>IF(AQ115="2",BI115,0)</f>
      </c>
      <c r="AH115" s="57">
        <f>IF(AQ115="0",BJ115,0)</f>
      </c>
      <c r="AI115" s="33" t="s">
        <v>220</v>
      </c>
      <c r="AJ115" s="57">
        <f>IF(AN115=0,K115,0)</f>
      </c>
      <c r="AK115" s="57">
        <f>IF(AN115=12,K115,0)</f>
      </c>
      <c r="AL115" s="57">
        <f>IF(AN115=21,K115,0)</f>
      </c>
      <c r="AN115" s="57" t="n">
        <v>21</v>
      </c>
      <c r="AO115" s="57">
        <f>H115*0</f>
      </c>
      <c r="AP115" s="57">
        <f>H115*(1-0)</f>
      </c>
      <c r="AQ115" s="60" t="s">
        <v>56</v>
      </c>
      <c r="AV115" s="57">
        <f>AW115+AX115</f>
      </c>
      <c r="AW115" s="57">
        <f>G115*AO115</f>
      </c>
      <c r="AX115" s="57">
        <f>G115*AP115</f>
      </c>
      <c r="AY115" s="60" t="s">
        <v>102</v>
      </c>
      <c r="AZ115" s="60" t="s">
        <v>225</v>
      </c>
      <c r="BA115" s="33" t="s">
        <v>226</v>
      </c>
      <c r="BC115" s="57">
        <f>AW115+AX115</f>
      </c>
      <c r="BD115" s="57">
        <f>H115/(100-BE115)*100</f>
      </c>
      <c r="BE115" s="57" t="n">
        <v>0</v>
      </c>
      <c r="BF115" s="57">
        <f>115</f>
      </c>
      <c r="BH115" s="57">
        <f>G115*AO115</f>
      </c>
      <c r="BI115" s="57">
        <f>G115*AP115</f>
      </c>
      <c r="BJ115" s="57">
        <f>G115*H115</f>
      </c>
      <c r="BK115" s="57"/>
      <c r="BL115" s="57" t="n">
        <v>17</v>
      </c>
      <c r="BW115" s="57" t="n">
        <v>21</v>
      </c>
      <c r="BX115" s="16" t="s">
        <v>108</v>
      </c>
    </row>
    <row r="116" customHeight="true" ht="13.5">
      <c r="A116" s="61"/>
      <c r="C116" s="66" t="s">
        <v>69</v>
      </c>
      <c r="D116" s="67" t="s">
        <v>109</v>
      </c>
      <c r="E116" s="68"/>
      <c r="F116" s="68"/>
      <c r="G116" s="68"/>
      <c r="H116" s="69"/>
      <c r="I116" s="68"/>
      <c r="J116" s="68"/>
      <c r="K116" s="68"/>
      <c r="L116" s="70"/>
    </row>
    <row r="117">
      <c r="A117" s="61"/>
      <c r="D117" s="62" t="s">
        <v>240</v>
      </c>
      <c r="E117" s="63" t="s">
        <v>51</v>
      </c>
      <c r="G117" s="64" t="n">
        <v>1.62</v>
      </c>
      <c r="L117" s="65"/>
    </row>
    <row r="118">
      <c r="A118" s="51" t="s">
        <v>51</v>
      </c>
      <c r="B118" s="52" t="s">
        <v>220</v>
      </c>
      <c r="C118" s="52" t="s">
        <v>111</v>
      </c>
      <c r="D118" s="53" t="s">
        <v>112</v>
      </c>
      <c r="E118" s="52"/>
      <c r="F118" s="54" t="s">
        <v>4</v>
      </c>
      <c r="G118" s="54" t="s">
        <v>4</v>
      </c>
      <c r="H118" s="55" t="s">
        <v>4</v>
      </c>
      <c r="I118" s="2">
        <f>SUM(I119:I123)</f>
      </c>
      <c r="J118" s="2">
        <f>SUM(J119:J123)</f>
      </c>
      <c r="K118" s="2">
        <f>SUM(K119:K123)</f>
      </c>
      <c r="L118" s="56" t="s">
        <v>51</v>
      </c>
      <c r="AI118" s="33" t="s">
        <v>220</v>
      </c>
      <c r="AS118" s="2">
        <f>SUM(AJ119:AJ123)</f>
      </c>
      <c r="AT118" s="2">
        <f>SUM(AK119:AK123)</f>
      </c>
      <c r="AU118" s="2">
        <f>SUM(AL119:AL123)</f>
      </c>
    </row>
    <row r="119">
      <c r="A119" s="10" t="s">
        <v>241</v>
      </c>
      <c r="B119" s="11" t="s">
        <v>220</v>
      </c>
      <c r="C119" s="11" t="s">
        <v>114</v>
      </c>
      <c r="D119" s="16" t="s">
        <v>115</v>
      </c>
      <c r="E119" s="11"/>
      <c r="F119" s="11" t="s">
        <v>59</v>
      </c>
      <c r="G119" s="57" t="n">
        <v>20</v>
      </c>
      <c r="H119" s="58" t="n">
        <v>0</v>
      </c>
      <c r="I119" s="57">
        <f>G119*AO119</f>
      </c>
      <c r="J119" s="57">
        <f>G119*AP119</f>
      </c>
      <c r="K119" s="57">
        <f>G119*H119</f>
      </c>
      <c r="L119" s="59" t="s">
        <v>60</v>
      </c>
      <c r="Z119" s="57">
        <f>IF(AQ119="5",BJ119,0)</f>
      </c>
      <c r="AB119" s="57">
        <f>IF(AQ119="1",BH119,0)</f>
      </c>
      <c r="AC119" s="57">
        <f>IF(AQ119="1",BI119,0)</f>
      </c>
      <c r="AD119" s="57">
        <f>IF(AQ119="7",BH119,0)</f>
      </c>
      <c r="AE119" s="57">
        <f>IF(AQ119="7",BI119,0)</f>
      </c>
      <c r="AF119" s="57">
        <f>IF(AQ119="2",BH119,0)</f>
      </c>
      <c r="AG119" s="57">
        <f>IF(AQ119="2",BI119,0)</f>
      </c>
      <c r="AH119" s="57">
        <f>IF(AQ119="0",BJ119,0)</f>
      </c>
      <c r="AI119" s="33" t="s">
        <v>220</v>
      </c>
      <c r="AJ119" s="57">
        <f>IF(AN119=0,K119,0)</f>
      </c>
      <c r="AK119" s="57">
        <f>IF(AN119=12,K119,0)</f>
      </c>
      <c r="AL119" s="57">
        <f>IF(AN119=21,K119,0)</f>
      </c>
      <c r="AN119" s="57" t="n">
        <v>21</v>
      </c>
      <c r="AO119" s="57">
        <f>H119*0.070439865</f>
      </c>
      <c r="AP119" s="57">
        <f>H119*(1-0.070439865)</f>
      </c>
      <c r="AQ119" s="60" t="s">
        <v>56</v>
      </c>
      <c r="AV119" s="57">
        <f>AW119+AX119</f>
      </c>
      <c r="AW119" s="57">
        <f>G119*AO119</f>
      </c>
      <c r="AX119" s="57">
        <f>G119*AP119</f>
      </c>
      <c r="AY119" s="60" t="s">
        <v>116</v>
      </c>
      <c r="AZ119" s="60" t="s">
        <v>225</v>
      </c>
      <c r="BA119" s="33" t="s">
        <v>226</v>
      </c>
      <c r="BC119" s="57">
        <f>AW119+AX119</f>
      </c>
      <c r="BD119" s="57">
        <f>H119/(100-BE119)*100</f>
      </c>
      <c r="BE119" s="57" t="n">
        <v>0</v>
      </c>
      <c r="BF119" s="57">
        <f>119</f>
      </c>
      <c r="BH119" s="57">
        <f>G119*AO119</f>
      </c>
      <c r="BI119" s="57">
        <f>G119*AP119</f>
      </c>
      <c r="BJ119" s="57">
        <f>G119*H119</f>
      </c>
      <c r="BK119" s="57"/>
      <c r="BL119" s="57" t="n">
        <v>18</v>
      </c>
      <c r="BW119" s="57" t="n">
        <v>21</v>
      </c>
      <c r="BX119" s="16" t="s">
        <v>115</v>
      </c>
    </row>
    <row r="120">
      <c r="A120" s="10" t="s">
        <v>242</v>
      </c>
      <c r="B120" s="11" t="s">
        <v>220</v>
      </c>
      <c r="C120" s="11" t="s">
        <v>118</v>
      </c>
      <c r="D120" s="16" t="s">
        <v>119</v>
      </c>
      <c r="E120" s="11"/>
      <c r="F120" s="11" t="s">
        <v>59</v>
      </c>
      <c r="G120" s="57" t="n">
        <v>10</v>
      </c>
      <c r="H120" s="58" t="n">
        <v>0</v>
      </c>
      <c r="I120" s="57">
        <f>G120*AO120</f>
      </c>
      <c r="J120" s="57">
        <f>G120*AP120</f>
      </c>
      <c r="K120" s="57">
        <f>G120*H120</f>
      </c>
      <c r="L120" s="59" t="s">
        <v>60</v>
      </c>
      <c r="Z120" s="57">
        <f>IF(AQ120="5",BJ120,0)</f>
      </c>
      <c r="AB120" s="57">
        <f>IF(AQ120="1",BH120,0)</f>
      </c>
      <c r="AC120" s="57">
        <f>IF(AQ120="1",BI120,0)</f>
      </c>
      <c r="AD120" s="57">
        <f>IF(AQ120="7",BH120,0)</f>
      </c>
      <c r="AE120" s="57">
        <f>IF(AQ120="7",BI120,0)</f>
      </c>
      <c r="AF120" s="57">
        <f>IF(AQ120="2",BH120,0)</f>
      </c>
      <c r="AG120" s="57">
        <f>IF(AQ120="2",BI120,0)</f>
      </c>
      <c r="AH120" s="57">
        <f>IF(AQ120="0",BJ120,0)</f>
      </c>
      <c r="AI120" s="33" t="s">
        <v>220</v>
      </c>
      <c r="AJ120" s="57">
        <f>IF(AN120=0,K120,0)</f>
      </c>
      <c r="AK120" s="57">
        <f>IF(AN120=12,K120,0)</f>
      </c>
      <c r="AL120" s="57">
        <f>IF(AN120=21,K120,0)</f>
      </c>
      <c r="AN120" s="57" t="n">
        <v>21</v>
      </c>
      <c r="AO120" s="57">
        <f>H120*0</f>
      </c>
      <c r="AP120" s="57">
        <f>H120*(1-0)</f>
      </c>
      <c r="AQ120" s="60" t="s">
        <v>56</v>
      </c>
      <c r="AV120" s="57">
        <f>AW120+AX120</f>
      </c>
      <c r="AW120" s="57">
        <f>G120*AO120</f>
      </c>
      <c r="AX120" s="57">
        <f>G120*AP120</f>
      </c>
      <c r="AY120" s="60" t="s">
        <v>116</v>
      </c>
      <c r="AZ120" s="60" t="s">
        <v>225</v>
      </c>
      <c r="BA120" s="33" t="s">
        <v>226</v>
      </c>
      <c r="BC120" s="57">
        <f>AW120+AX120</f>
      </c>
      <c r="BD120" s="57">
        <f>H120/(100-BE120)*100</f>
      </c>
      <c r="BE120" s="57" t="n">
        <v>0</v>
      </c>
      <c r="BF120" s="57">
        <f>120</f>
      </c>
      <c r="BH120" s="57">
        <f>G120*AO120</f>
      </c>
      <c r="BI120" s="57">
        <f>G120*AP120</f>
      </c>
      <c r="BJ120" s="57">
        <f>G120*H120</f>
      </c>
      <c r="BK120" s="57"/>
      <c r="BL120" s="57" t="n">
        <v>18</v>
      </c>
      <c r="BW120" s="57" t="n">
        <v>21</v>
      </c>
      <c r="BX120" s="16" t="s">
        <v>119</v>
      </c>
    </row>
    <row r="121">
      <c r="A121" s="10" t="s">
        <v>243</v>
      </c>
      <c r="B121" s="11" t="s">
        <v>220</v>
      </c>
      <c r="C121" s="11" t="s">
        <v>120</v>
      </c>
      <c r="D121" s="16" t="s">
        <v>121</v>
      </c>
      <c r="E121" s="11"/>
      <c r="F121" s="11" t="s">
        <v>59</v>
      </c>
      <c r="G121" s="57" t="n">
        <v>518.8</v>
      </c>
      <c r="H121" s="58" t="n">
        <v>0</v>
      </c>
      <c r="I121" s="57">
        <f>G121*AO121</f>
      </c>
      <c r="J121" s="57">
        <f>G121*AP121</f>
      </c>
      <c r="K121" s="57">
        <f>G121*H121</f>
      </c>
      <c r="L121" s="59" t="s">
        <v>60</v>
      </c>
      <c r="Z121" s="57">
        <f>IF(AQ121="5",BJ121,0)</f>
      </c>
      <c r="AB121" s="57">
        <f>IF(AQ121="1",BH121,0)</f>
      </c>
      <c r="AC121" s="57">
        <f>IF(AQ121="1",BI121,0)</f>
      </c>
      <c r="AD121" s="57">
        <f>IF(AQ121="7",BH121,0)</f>
      </c>
      <c r="AE121" s="57">
        <f>IF(AQ121="7",BI121,0)</f>
      </c>
      <c r="AF121" s="57">
        <f>IF(AQ121="2",BH121,0)</f>
      </c>
      <c r="AG121" s="57">
        <f>IF(AQ121="2",BI121,0)</f>
      </c>
      <c r="AH121" s="57">
        <f>IF(AQ121="0",BJ121,0)</f>
      </c>
      <c r="AI121" s="33" t="s">
        <v>220</v>
      </c>
      <c r="AJ121" s="57">
        <f>IF(AN121=0,K121,0)</f>
      </c>
      <c r="AK121" s="57">
        <f>IF(AN121=12,K121,0)</f>
      </c>
      <c r="AL121" s="57">
        <f>IF(AN121=21,K121,0)</f>
      </c>
      <c r="AN121" s="57" t="n">
        <v>21</v>
      </c>
      <c r="AO121" s="57">
        <f>H121*0</f>
      </c>
      <c r="AP121" s="57">
        <f>H121*(1-0)</f>
      </c>
      <c r="AQ121" s="60" t="s">
        <v>56</v>
      </c>
      <c r="AV121" s="57">
        <f>AW121+AX121</f>
      </c>
      <c r="AW121" s="57">
        <f>G121*AO121</f>
      </c>
      <c r="AX121" s="57">
        <f>G121*AP121</f>
      </c>
      <c r="AY121" s="60" t="s">
        <v>116</v>
      </c>
      <c r="AZ121" s="60" t="s">
        <v>225</v>
      </c>
      <c r="BA121" s="33" t="s">
        <v>226</v>
      </c>
      <c r="BC121" s="57">
        <f>AW121+AX121</f>
      </c>
      <c r="BD121" s="57">
        <f>H121/(100-BE121)*100</f>
      </c>
      <c r="BE121" s="57" t="n">
        <v>0</v>
      </c>
      <c r="BF121" s="57">
        <f>121</f>
      </c>
      <c r="BH121" s="57">
        <f>G121*AO121</f>
      </c>
      <c r="BI121" s="57">
        <f>G121*AP121</f>
      </c>
      <c r="BJ121" s="57">
        <f>G121*H121</f>
      </c>
      <c r="BK121" s="57"/>
      <c r="BL121" s="57" t="n">
        <v>18</v>
      </c>
      <c r="BW121" s="57" t="n">
        <v>21</v>
      </c>
      <c r="BX121" s="16" t="s">
        <v>121</v>
      </c>
    </row>
    <row r="122">
      <c r="A122" s="61"/>
      <c r="D122" s="62" t="s">
        <v>244</v>
      </c>
      <c r="E122" s="63" t="s">
        <v>51</v>
      </c>
      <c r="G122" s="64" t="n">
        <v>518.8</v>
      </c>
      <c r="L122" s="65"/>
    </row>
    <row r="123">
      <c r="A123" s="10" t="s">
        <v>245</v>
      </c>
      <c r="B123" s="11" t="s">
        <v>220</v>
      </c>
      <c r="C123" s="11" t="s">
        <v>123</v>
      </c>
      <c r="D123" s="16" t="s">
        <v>124</v>
      </c>
      <c r="E123" s="11"/>
      <c r="F123" s="11" t="s">
        <v>59</v>
      </c>
      <c r="G123" s="57" t="n">
        <v>20</v>
      </c>
      <c r="H123" s="58" t="n">
        <v>0</v>
      </c>
      <c r="I123" s="57">
        <f>G123*AO123</f>
      </c>
      <c r="J123" s="57">
        <f>G123*AP123</f>
      </c>
      <c r="K123" s="57">
        <f>G123*H123</f>
      </c>
      <c r="L123" s="59" t="s">
        <v>60</v>
      </c>
      <c r="Z123" s="57">
        <f>IF(AQ123="5",BJ123,0)</f>
      </c>
      <c r="AB123" s="57">
        <f>IF(AQ123="1",BH123,0)</f>
      </c>
      <c r="AC123" s="57">
        <f>IF(AQ123="1",BI123,0)</f>
      </c>
      <c r="AD123" s="57">
        <f>IF(AQ123="7",BH123,0)</f>
      </c>
      <c r="AE123" s="57">
        <f>IF(AQ123="7",BI123,0)</f>
      </c>
      <c r="AF123" s="57">
        <f>IF(AQ123="2",BH123,0)</f>
      </c>
      <c r="AG123" s="57">
        <f>IF(AQ123="2",BI123,0)</f>
      </c>
      <c r="AH123" s="57">
        <f>IF(AQ123="0",BJ123,0)</f>
      </c>
      <c r="AI123" s="33" t="s">
        <v>220</v>
      </c>
      <c r="AJ123" s="57">
        <f>IF(AN123=0,K123,0)</f>
      </c>
      <c r="AK123" s="57">
        <f>IF(AN123=12,K123,0)</f>
      </c>
      <c r="AL123" s="57">
        <f>IF(AN123=21,K123,0)</f>
      </c>
      <c r="AN123" s="57" t="n">
        <v>21</v>
      </c>
      <c r="AO123" s="57">
        <f>H123*0</f>
      </c>
      <c r="AP123" s="57">
        <f>H123*(1-0)</f>
      </c>
      <c r="AQ123" s="60" t="s">
        <v>56</v>
      </c>
      <c r="AV123" s="57">
        <f>AW123+AX123</f>
      </c>
      <c r="AW123" s="57">
        <f>G123*AO123</f>
      </c>
      <c r="AX123" s="57">
        <f>G123*AP123</f>
      </c>
      <c r="AY123" s="60" t="s">
        <v>116</v>
      </c>
      <c r="AZ123" s="60" t="s">
        <v>225</v>
      </c>
      <c r="BA123" s="33" t="s">
        <v>226</v>
      </c>
      <c r="BC123" s="57">
        <f>AW123+AX123</f>
      </c>
      <c r="BD123" s="57">
        <f>H123/(100-BE123)*100</f>
      </c>
      <c r="BE123" s="57" t="n">
        <v>0</v>
      </c>
      <c r="BF123" s="57">
        <f>123</f>
      </c>
      <c r="BH123" s="57">
        <f>G123*AO123</f>
      </c>
      <c r="BI123" s="57">
        <f>G123*AP123</f>
      </c>
      <c r="BJ123" s="57">
        <f>G123*H123</f>
      </c>
      <c r="BK123" s="57"/>
      <c r="BL123" s="57" t="n">
        <v>18</v>
      </c>
      <c r="BW123" s="57" t="n">
        <v>21</v>
      </c>
      <c r="BX123" s="16" t="s">
        <v>124</v>
      </c>
    </row>
    <row r="124">
      <c r="A124" s="51" t="s">
        <v>51</v>
      </c>
      <c r="B124" s="52" t="s">
        <v>220</v>
      </c>
      <c r="C124" s="52" t="s">
        <v>126</v>
      </c>
      <c r="D124" s="53" t="s">
        <v>127</v>
      </c>
      <c r="E124" s="52"/>
      <c r="F124" s="54" t="s">
        <v>4</v>
      </c>
      <c r="G124" s="54" t="s">
        <v>4</v>
      </c>
      <c r="H124" s="55" t="s">
        <v>4</v>
      </c>
      <c r="I124" s="2">
        <f>SUM(I125:I128)</f>
      </c>
      <c r="J124" s="2">
        <f>SUM(J125:J128)</f>
      </c>
      <c r="K124" s="2">
        <f>SUM(K125:K128)</f>
      </c>
      <c r="L124" s="56" t="s">
        <v>51</v>
      </c>
      <c r="AI124" s="33" t="s">
        <v>220</v>
      </c>
      <c r="AS124" s="2">
        <f>SUM(AJ125:AJ128)</f>
      </c>
      <c r="AT124" s="2">
        <f>SUM(AK125:AK128)</f>
      </c>
      <c r="AU124" s="2">
        <f>SUM(AL125:AL128)</f>
      </c>
    </row>
    <row r="125">
      <c r="A125" s="10" t="s">
        <v>246</v>
      </c>
      <c r="B125" s="11" t="s">
        <v>220</v>
      </c>
      <c r="C125" s="11" t="s">
        <v>129</v>
      </c>
      <c r="D125" s="16" t="s">
        <v>130</v>
      </c>
      <c r="E125" s="11"/>
      <c r="F125" s="11" t="s">
        <v>59</v>
      </c>
      <c r="G125" s="57" t="n">
        <v>14.5</v>
      </c>
      <c r="H125" s="58" t="n">
        <v>0</v>
      </c>
      <c r="I125" s="57">
        <f>G125*AO125</f>
      </c>
      <c r="J125" s="57">
        <f>G125*AP125</f>
      </c>
      <c r="K125" s="57">
        <f>G125*H125</f>
      </c>
      <c r="L125" s="59" t="s">
        <v>60</v>
      </c>
      <c r="Z125" s="57">
        <f>IF(AQ125="5",BJ125,0)</f>
      </c>
      <c r="AB125" s="57">
        <f>IF(AQ125="1",BH125,0)</f>
      </c>
      <c r="AC125" s="57">
        <f>IF(AQ125="1",BI125,0)</f>
      </c>
      <c r="AD125" s="57">
        <f>IF(AQ125="7",BH125,0)</f>
      </c>
      <c r="AE125" s="57">
        <f>IF(AQ125="7",BI125,0)</f>
      </c>
      <c r="AF125" s="57">
        <f>IF(AQ125="2",BH125,0)</f>
      </c>
      <c r="AG125" s="57">
        <f>IF(AQ125="2",BI125,0)</f>
      </c>
      <c r="AH125" s="57">
        <f>IF(AQ125="0",BJ125,0)</f>
      </c>
      <c r="AI125" s="33" t="s">
        <v>220</v>
      </c>
      <c r="AJ125" s="57">
        <f>IF(AN125=0,K125,0)</f>
      </c>
      <c r="AK125" s="57">
        <f>IF(AN125=12,K125,0)</f>
      </c>
      <c r="AL125" s="57">
        <f>IF(AN125=21,K125,0)</f>
      </c>
      <c r="AN125" s="57" t="n">
        <v>21</v>
      </c>
      <c r="AO125" s="57">
        <f>H125*0.781673307</f>
      </c>
      <c r="AP125" s="57">
        <f>H125*(1-0.781673307)</f>
      </c>
      <c r="AQ125" s="60" t="s">
        <v>56</v>
      </c>
      <c r="AV125" s="57">
        <f>AW125+AX125</f>
      </c>
      <c r="AW125" s="57">
        <f>G125*AO125</f>
      </c>
      <c r="AX125" s="57">
        <f>G125*AP125</f>
      </c>
      <c r="AY125" s="60" t="s">
        <v>131</v>
      </c>
      <c r="AZ125" s="60" t="s">
        <v>247</v>
      </c>
      <c r="BA125" s="33" t="s">
        <v>226</v>
      </c>
      <c r="BC125" s="57">
        <f>AW125+AX125</f>
      </c>
      <c r="BD125" s="57">
        <f>H125/(100-BE125)*100</f>
      </c>
      <c r="BE125" s="57" t="n">
        <v>0</v>
      </c>
      <c r="BF125" s="57">
        <f>125</f>
      </c>
      <c r="BH125" s="57">
        <f>G125*AO125</f>
      </c>
      <c r="BI125" s="57">
        <f>G125*AP125</f>
      </c>
      <c r="BJ125" s="57">
        <f>G125*H125</f>
      </c>
      <c r="BK125" s="57"/>
      <c r="BL125" s="57" t="n">
        <v>56</v>
      </c>
      <c r="BW125" s="57" t="n">
        <v>21</v>
      </c>
      <c r="BX125" s="16" t="s">
        <v>130</v>
      </c>
    </row>
    <row r="126" customHeight="true" ht="13.5">
      <c r="A126" s="61"/>
      <c r="C126" s="66" t="s">
        <v>69</v>
      </c>
      <c r="D126" s="67" t="s">
        <v>133</v>
      </c>
      <c r="E126" s="68"/>
      <c r="F126" s="68"/>
      <c r="G126" s="68"/>
      <c r="H126" s="69"/>
      <c r="I126" s="68"/>
      <c r="J126" s="68"/>
      <c r="K126" s="68"/>
      <c r="L126" s="70"/>
    </row>
    <row r="127">
      <c r="A127" s="61"/>
      <c r="D127" s="62" t="s">
        <v>248</v>
      </c>
      <c r="E127" s="63" t="s">
        <v>51</v>
      </c>
      <c r="G127" s="64" t="n">
        <v>14.5</v>
      </c>
      <c r="L127" s="65"/>
    </row>
    <row r="128">
      <c r="A128" s="10" t="s">
        <v>249</v>
      </c>
      <c r="B128" s="11" t="s">
        <v>220</v>
      </c>
      <c r="C128" s="11" t="s">
        <v>250</v>
      </c>
      <c r="D128" s="16" t="s">
        <v>251</v>
      </c>
      <c r="E128" s="11"/>
      <c r="F128" s="11" t="s">
        <v>59</v>
      </c>
      <c r="G128" s="57" t="n">
        <v>494.1</v>
      </c>
      <c r="H128" s="58" t="n">
        <v>0</v>
      </c>
      <c r="I128" s="57">
        <f>G128*AO128</f>
      </c>
      <c r="J128" s="57">
        <f>G128*AP128</f>
      </c>
      <c r="K128" s="57">
        <f>G128*H128</f>
      </c>
      <c r="L128" s="59" t="s">
        <v>60</v>
      </c>
      <c r="Z128" s="57">
        <f>IF(AQ128="5",BJ128,0)</f>
      </c>
      <c r="AB128" s="57">
        <f>IF(AQ128="1",BH128,0)</f>
      </c>
      <c r="AC128" s="57">
        <f>IF(AQ128="1",BI128,0)</f>
      </c>
      <c r="AD128" s="57">
        <f>IF(AQ128="7",BH128,0)</f>
      </c>
      <c r="AE128" s="57">
        <f>IF(AQ128="7",BI128,0)</f>
      </c>
      <c r="AF128" s="57">
        <f>IF(AQ128="2",BH128,0)</f>
      </c>
      <c r="AG128" s="57">
        <f>IF(AQ128="2",BI128,0)</f>
      </c>
      <c r="AH128" s="57">
        <f>IF(AQ128="0",BJ128,0)</f>
      </c>
      <c r="AI128" s="33" t="s">
        <v>220</v>
      </c>
      <c r="AJ128" s="57">
        <f>IF(AN128=0,K128,0)</f>
      </c>
      <c r="AK128" s="57">
        <f>IF(AN128=12,K128,0)</f>
      </c>
      <c r="AL128" s="57">
        <f>IF(AN128=21,K128,0)</f>
      </c>
      <c r="AN128" s="57" t="n">
        <v>21</v>
      </c>
      <c r="AO128" s="57">
        <f>H128*0.788496241</f>
      </c>
      <c r="AP128" s="57">
        <f>H128*(1-0.788496241)</f>
      </c>
      <c r="AQ128" s="60" t="s">
        <v>56</v>
      </c>
      <c r="AV128" s="57">
        <f>AW128+AX128</f>
      </c>
      <c r="AW128" s="57">
        <f>G128*AO128</f>
      </c>
      <c r="AX128" s="57">
        <f>G128*AP128</f>
      </c>
      <c r="AY128" s="60" t="s">
        <v>131</v>
      </c>
      <c r="AZ128" s="60" t="s">
        <v>247</v>
      </c>
      <c r="BA128" s="33" t="s">
        <v>226</v>
      </c>
      <c r="BC128" s="57">
        <f>AW128+AX128</f>
      </c>
      <c r="BD128" s="57">
        <f>H128/(100-BE128)*100</f>
      </c>
      <c r="BE128" s="57" t="n">
        <v>0</v>
      </c>
      <c r="BF128" s="57">
        <f>128</f>
      </c>
      <c r="BH128" s="57">
        <f>G128*AO128</f>
      </c>
      <c r="BI128" s="57">
        <f>G128*AP128</f>
      </c>
      <c r="BJ128" s="57">
        <f>G128*H128</f>
      </c>
      <c r="BK128" s="57"/>
      <c r="BL128" s="57" t="n">
        <v>56</v>
      </c>
      <c r="BW128" s="57" t="n">
        <v>21</v>
      </c>
      <c r="BX128" s="16" t="s">
        <v>251</v>
      </c>
    </row>
    <row r="129" customHeight="true" ht="13.5">
      <c r="A129" s="61"/>
      <c r="C129" s="66" t="s">
        <v>69</v>
      </c>
      <c r="D129" s="67" t="s">
        <v>138</v>
      </c>
      <c r="E129" s="68"/>
      <c r="F129" s="68"/>
      <c r="G129" s="68"/>
      <c r="H129" s="69"/>
      <c r="I129" s="68"/>
      <c r="J129" s="68"/>
      <c r="K129" s="68"/>
      <c r="L129" s="70"/>
    </row>
    <row r="130">
      <c r="A130" s="51" t="s">
        <v>51</v>
      </c>
      <c r="B130" s="52" t="s">
        <v>220</v>
      </c>
      <c r="C130" s="52" t="s">
        <v>252</v>
      </c>
      <c r="D130" s="53" t="s">
        <v>253</v>
      </c>
      <c r="E130" s="52"/>
      <c r="F130" s="54" t="s">
        <v>4</v>
      </c>
      <c r="G130" s="54" t="s">
        <v>4</v>
      </c>
      <c r="H130" s="55" t="s">
        <v>4</v>
      </c>
      <c r="I130" s="2">
        <f>SUM(I131:I131)</f>
      </c>
      <c r="J130" s="2">
        <f>SUM(J131:J131)</f>
      </c>
      <c r="K130" s="2">
        <f>SUM(K131:K131)</f>
      </c>
      <c r="L130" s="56" t="s">
        <v>51</v>
      </c>
      <c r="AI130" s="33" t="s">
        <v>220</v>
      </c>
      <c r="AS130" s="2">
        <f>SUM(AJ131:AJ131)</f>
      </c>
      <c r="AT130" s="2">
        <f>SUM(AK131:AK131)</f>
      </c>
      <c r="AU130" s="2">
        <f>SUM(AL131:AL131)</f>
      </c>
    </row>
    <row r="131">
      <c r="A131" s="10" t="s">
        <v>254</v>
      </c>
      <c r="B131" s="11" t="s">
        <v>220</v>
      </c>
      <c r="C131" s="11" t="s">
        <v>255</v>
      </c>
      <c r="D131" s="16" t="s">
        <v>256</v>
      </c>
      <c r="E131" s="11"/>
      <c r="F131" s="11" t="s">
        <v>59</v>
      </c>
      <c r="G131" s="57" t="n">
        <v>15</v>
      </c>
      <c r="H131" s="58" t="n">
        <v>0</v>
      </c>
      <c r="I131" s="57">
        <f>G131*AO131</f>
      </c>
      <c r="J131" s="57">
        <f>G131*AP131</f>
      </c>
      <c r="K131" s="57">
        <f>G131*H131</f>
      </c>
      <c r="L131" s="59" t="s">
        <v>60</v>
      </c>
      <c r="Z131" s="57">
        <f>IF(AQ131="5",BJ131,0)</f>
      </c>
      <c r="AB131" s="57">
        <f>IF(AQ131="1",BH131,0)</f>
      </c>
      <c r="AC131" s="57">
        <f>IF(AQ131="1",BI131,0)</f>
      </c>
      <c r="AD131" s="57">
        <f>IF(AQ131="7",BH131,0)</f>
      </c>
      <c r="AE131" s="57">
        <f>IF(AQ131="7",BI131,0)</f>
      </c>
      <c r="AF131" s="57">
        <f>IF(AQ131="2",BH131,0)</f>
      </c>
      <c r="AG131" s="57">
        <f>IF(AQ131="2",BI131,0)</f>
      </c>
      <c r="AH131" s="57">
        <f>IF(AQ131="0",BJ131,0)</f>
      </c>
      <c r="AI131" s="33" t="s">
        <v>220</v>
      </c>
      <c r="AJ131" s="57">
        <f>IF(AN131=0,K131,0)</f>
      </c>
      <c r="AK131" s="57">
        <f>IF(AN131=12,K131,0)</f>
      </c>
      <c r="AL131" s="57">
        <f>IF(AN131=21,K131,0)</f>
      </c>
      <c r="AN131" s="57" t="n">
        <v>21</v>
      </c>
      <c r="AO131" s="57">
        <f>H131*0.228211382</f>
      </c>
      <c r="AP131" s="57">
        <f>H131*(1-0.228211382)</f>
      </c>
      <c r="AQ131" s="60" t="s">
        <v>56</v>
      </c>
      <c r="AV131" s="57">
        <f>AW131+AX131</f>
      </c>
      <c r="AW131" s="57">
        <f>G131*AO131</f>
      </c>
      <c r="AX131" s="57">
        <f>G131*AP131</f>
      </c>
      <c r="AY131" s="60" t="s">
        <v>257</v>
      </c>
      <c r="AZ131" s="60" t="s">
        <v>247</v>
      </c>
      <c r="BA131" s="33" t="s">
        <v>226</v>
      </c>
      <c r="BC131" s="57">
        <f>AW131+AX131</f>
      </c>
      <c r="BD131" s="57">
        <f>H131/(100-BE131)*100</f>
      </c>
      <c r="BE131" s="57" t="n">
        <v>0</v>
      </c>
      <c r="BF131" s="57">
        <f>131</f>
      </c>
      <c r="BH131" s="57">
        <f>G131*AO131</f>
      </c>
      <c r="BI131" s="57">
        <f>G131*AP131</f>
      </c>
      <c r="BJ131" s="57">
        <f>G131*H131</f>
      </c>
      <c r="BK131" s="57"/>
      <c r="BL131" s="57" t="n">
        <v>57</v>
      </c>
      <c r="BW131" s="57" t="n">
        <v>21</v>
      </c>
      <c r="BX131" s="16" t="s">
        <v>256</v>
      </c>
    </row>
    <row r="132" customHeight="true" ht="13.5">
      <c r="A132" s="61"/>
      <c r="C132" s="66" t="s">
        <v>69</v>
      </c>
      <c r="D132" s="67" t="s">
        <v>258</v>
      </c>
      <c r="E132" s="68"/>
      <c r="F132" s="68"/>
      <c r="G132" s="68"/>
      <c r="H132" s="69"/>
      <c r="I132" s="68"/>
      <c r="J132" s="68"/>
      <c r="K132" s="68"/>
      <c r="L132" s="70"/>
    </row>
    <row r="133">
      <c r="A133" s="51" t="s">
        <v>51</v>
      </c>
      <c r="B133" s="52" t="s">
        <v>220</v>
      </c>
      <c r="C133" s="52" t="s">
        <v>139</v>
      </c>
      <c r="D133" s="53" t="s">
        <v>140</v>
      </c>
      <c r="E133" s="52"/>
      <c r="F133" s="54" t="s">
        <v>4</v>
      </c>
      <c r="G133" s="54" t="s">
        <v>4</v>
      </c>
      <c r="H133" s="55" t="s">
        <v>4</v>
      </c>
      <c r="I133" s="2">
        <f>SUM(I134:I137)</f>
      </c>
      <c r="J133" s="2">
        <f>SUM(J134:J137)</f>
      </c>
      <c r="K133" s="2">
        <f>SUM(K134:K137)</f>
      </c>
      <c r="L133" s="56" t="s">
        <v>51</v>
      </c>
      <c r="AI133" s="33" t="s">
        <v>220</v>
      </c>
      <c r="AS133" s="2">
        <f>SUM(AJ134:AJ137)</f>
      </c>
      <c r="AT133" s="2">
        <f>SUM(AK134:AK137)</f>
      </c>
      <c r="AU133" s="2">
        <f>SUM(AL134:AL137)</f>
      </c>
    </row>
    <row r="134">
      <c r="A134" s="10" t="s">
        <v>259</v>
      </c>
      <c r="B134" s="11" t="s">
        <v>220</v>
      </c>
      <c r="C134" s="11" t="s">
        <v>142</v>
      </c>
      <c r="D134" s="16" t="s">
        <v>143</v>
      </c>
      <c r="E134" s="11"/>
      <c r="F134" s="11" t="s">
        <v>59</v>
      </c>
      <c r="G134" s="57" t="n">
        <v>494.1</v>
      </c>
      <c r="H134" s="58" t="n">
        <v>0</v>
      </c>
      <c r="I134" s="57">
        <f>G134*AO134</f>
      </c>
      <c r="J134" s="57">
        <f>G134*AP134</f>
      </c>
      <c r="K134" s="57">
        <f>G134*H134</f>
      </c>
      <c r="L134" s="59" t="s">
        <v>60</v>
      </c>
      <c r="Z134" s="57">
        <f>IF(AQ134="5",BJ134,0)</f>
      </c>
      <c r="AB134" s="57">
        <f>IF(AQ134="1",BH134,0)</f>
      </c>
      <c r="AC134" s="57">
        <f>IF(AQ134="1",BI134,0)</f>
      </c>
      <c r="AD134" s="57">
        <f>IF(AQ134="7",BH134,0)</f>
      </c>
      <c r="AE134" s="57">
        <f>IF(AQ134="7",BI134,0)</f>
      </c>
      <c r="AF134" s="57">
        <f>IF(AQ134="2",BH134,0)</f>
      </c>
      <c r="AG134" s="57">
        <f>IF(AQ134="2",BI134,0)</f>
      </c>
      <c r="AH134" s="57">
        <f>IF(AQ134="0",BJ134,0)</f>
      </c>
      <c r="AI134" s="33" t="s">
        <v>220</v>
      </c>
      <c r="AJ134" s="57">
        <f>IF(AN134=0,K134,0)</f>
      </c>
      <c r="AK134" s="57">
        <f>IF(AN134=12,K134,0)</f>
      </c>
      <c r="AL134" s="57">
        <f>IF(AN134=21,K134,0)</f>
      </c>
      <c r="AN134" s="57" t="n">
        <v>21</v>
      </c>
      <c r="AO134" s="57">
        <f>H134*0.154257975</f>
      </c>
      <c r="AP134" s="57">
        <f>H134*(1-0.154257975)</f>
      </c>
      <c r="AQ134" s="60" t="s">
        <v>56</v>
      </c>
      <c r="AV134" s="57">
        <f>AW134+AX134</f>
      </c>
      <c r="AW134" s="57">
        <f>G134*AO134</f>
      </c>
      <c r="AX134" s="57">
        <f>G134*AP134</f>
      </c>
      <c r="AY134" s="60" t="s">
        <v>144</v>
      </c>
      <c r="AZ134" s="60" t="s">
        <v>247</v>
      </c>
      <c r="BA134" s="33" t="s">
        <v>226</v>
      </c>
      <c r="BC134" s="57">
        <f>AW134+AX134</f>
      </c>
      <c r="BD134" s="57">
        <f>H134/(100-BE134)*100</f>
      </c>
      <c r="BE134" s="57" t="n">
        <v>0</v>
      </c>
      <c r="BF134" s="57">
        <f>134</f>
      </c>
      <c r="BH134" s="57">
        <f>G134*AO134</f>
      </c>
      <c r="BI134" s="57">
        <f>G134*AP134</f>
      </c>
      <c r="BJ134" s="57">
        <f>G134*H134</f>
      </c>
      <c r="BK134" s="57"/>
      <c r="BL134" s="57" t="n">
        <v>59</v>
      </c>
      <c r="BW134" s="57" t="n">
        <v>21</v>
      </c>
      <c r="BX134" s="16" t="s">
        <v>143</v>
      </c>
    </row>
    <row r="135" customHeight="true" ht="13.5">
      <c r="A135" s="61"/>
      <c r="C135" s="66" t="s">
        <v>69</v>
      </c>
      <c r="D135" s="67" t="s">
        <v>145</v>
      </c>
      <c r="E135" s="68"/>
      <c r="F135" s="68"/>
      <c r="G135" s="68"/>
      <c r="H135" s="69"/>
      <c r="I135" s="68"/>
      <c r="J135" s="68"/>
      <c r="K135" s="68"/>
      <c r="L135" s="70"/>
    </row>
    <row r="136">
      <c r="A136" s="10" t="s">
        <v>260</v>
      </c>
      <c r="B136" s="11" t="s">
        <v>220</v>
      </c>
      <c r="C136" s="11" t="s">
        <v>146</v>
      </c>
      <c r="D136" s="16" t="s">
        <v>147</v>
      </c>
      <c r="E136" s="11"/>
      <c r="F136" s="11" t="s">
        <v>68</v>
      </c>
      <c r="G136" s="57" t="n">
        <v>120</v>
      </c>
      <c r="H136" s="58" t="n">
        <v>0</v>
      </c>
      <c r="I136" s="57">
        <f>G136*AO136</f>
      </c>
      <c r="J136" s="57">
        <f>G136*AP136</f>
      </c>
      <c r="K136" s="57">
        <f>G136*H136</f>
      </c>
      <c r="L136" s="59" t="s">
        <v>60</v>
      </c>
      <c r="Z136" s="57">
        <f>IF(AQ136="5",BJ136,0)</f>
      </c>
      <c r="AB136" s="57">
        <f>IF(AQ136="1",BH136,0)</f>
      </c>
      <c r="AC136" s="57">
        <f>IF(AQ136="1",BI136,0)</f>
      </c>
      <c r="AD136" s="57">
        <f>IF(AQ136="7",BH136,0)</f>
      </c>
      <c r="AE136" s="57">
        <f>IF(AQ136="7",BI136,0)</f>
      </c>
      <c r="AF136" s="57">
        <f>IF(AQ136="2",BH136,0)</f>
      </c>
      <c r="AG136" s="57">
        <f>IF(AQ136="2",BI136,0)</f>
      </c>
      <c r="AH136" s="57">
        <f>IF(AQ136="0",BJ136,0)</f>
      </c>
      <c r="AI136" s="33" t="s">
        <v>220</v>
      </c>
      <c r="AJ136" s="57">
        <f>IF(AN136=0,K136,0)</f>
      </c>
      <c r="AK136" s="57">
        <f>IF(AN136=12,K136,0)</f>
      </c>
      <c r="AL136" s="57">
        <f>IF(AN136=21,K136,0)</f>
      </c>
      <c r="AN136" s="57" t="n">
        <v>21</v>
      </c>
      <c r="AO136" s="57">
        <f>H136*0.051456</f>
      </c>
      <c r="AP136" s="57">
        <f>H136*(1-0.051456)</f>
      </c>
      <c r="AQ136" s="60" t="s">
        <v>56</v>
      </c>
      <c r="AV136" s="57">
        <f>AW136+AX136</f>
      </c>
      <c r="AW136" s="57">
        <f>G136*AO136</f>
      </c>
      <c r="AX136" s="57">
        <f>G136*AP136</f>
      </c>
      <c r="AY136" s="60" t="s">
        <v>144</v>
      </c>
      <c r="AZ136" s="60" t="s">
        <v>247</v>
      </c>
      <c r="BA136" s="33" t="s">
        <v>226</v>
      </c>
      <c r="BC136" s="57">
        <f>AW136+AX136</f>
      </c>
      <c r="BD136" s="57">
        <f>H136/(100-BE136)*100</f>
      </c>
      <c r="BE136" s="57" t="n">
        <v>0</v>
      </c>
      <c r="BF136" s="57">
        <f>136</f>
      </c>
      <c r="BH136" s="57">
        <f>G136*AO136</f>
      </c>
      <c r="BI136" s="57">
        <f>G136*AP136</f>
      </c>
      <c r="BJ136" s="57">
        <f>G136*H136</f>
      </c>
      <c r="BK136" s="57"/>
      <c r="BL136" s="57" t="n">
        <v>59</v>
      </c>
      <c r="BW136" s="57" t="n">
        <v>21</v>
      </c>
      <c r="BX136" s="16" t="s">
        <v>147</v>
      </c>
    </row>
    <row r="137" ht="24.75">
      <c r="A137" s="10" t="s">
        <v>261</v>
      </c>
      <c r="B137" s="11" t="s">
        <v>220</v>
      </c>
      <c r="C137" s="11" t="s">
        <v>148</v>
      </c>
      <c r="D137" s="16" t="s">
        <v>149</v>
      </c>
      <c r="E137" s="11"/>
      <c r="F137" s="11" t="s">
        <v>77</v>
      </c>
      <c r="G137" s="57" t="n">
        <v>11.36</v>
      </c>
      <c r="H137" s="58" t="n">
        <v>0</v>
      </c>
      <c r="I137" s="57">
        <f>G137*AO137</f>
      </c>
      <c r="J137" s="57">
        <f>G137*AP137</f>
      </c>
      <c r="K137" s="57">
        <f>G137*H137</f>
      </c>
      <c r="L137" s="59" t="s">
        <v>60</v>
      </c>
      <c r="Z137" s="57">
        <f>IF(AQ137="5",BJ137,0)</f>
      </c>
      <c r="AB137" s="57">
        <f>IF(AQ137="1",BH137,0)</f>
      </c>
      <c r="AC137" s="57">
        <f>IF(AQ137="1",BI137,0)</f>
      </c>
      <c r="AD137" s="57">
        <f>IF(AQ137="7",BH137,0)</f>
      </c>
      <c r="AE137" s="57">
        <f>IF(AQ137="7",BI137,0)</f>
      </c>
      <c r="AF137" s="57">
        <f>IF(AQ137="2",BH137,0)</f>
      </c>
      <c r="AG137" s="57">
        <f>IF(AQ137="2",BI137,0)</f>
      </c>
      <c r="AH137" s="57">
        <f>IF(AQ137="0",BJ137,0)</f>
      </c>
      <c r="AI137" s="33" t="s">
        <v>220</v>
      </c>
      <c r="AJ137" s="57">
        <f>IF(AN137=0,K137,0)</f>
      </c>
      <c r="AK137" s="57">
        <f>IF(AN137=12,K137,0)</f>
      </c>
      <c r="AL137" s="57">
        <f>IF(AN137=21,K137,0)</f>
      </c>
      <c r="AN137" s="57" t="n">
        <v>21</v>
      </c>
      <c r="AO137" s="57">
        <f>H137*0</f>
      </c>
      <c r="AP137" s="57">
        <f>H137*(1-0)</f>
      </c>
      <c r="AQ137" s="60" t="s">
        <v>56</v>
      </c>
      <c r="AV137" s="57">
        <f>AW137+AX137</f>
      </c>
      <c r="AW137" s="57">
        <f>G137*AO137</f>
      </c>
      <c r="AX137" s="57">
        <f>G137*AP137</f>
      </c>
      <c r="AY137" s="60" t="s">
        <v>144</v>
      </c>
      <c r="AZ137" s="60" t="s">
        <v>247</v>
      </c>
      <c r="BA137" s="33" t="s">
        <v>226</v>
      </c>
      <c r="BC137" s="57">
        <f>AW137+AX137</f>
      </c>
      <c r="BD137" s="57">
        <f>H137/(100-BE137)*100</f>
      </c>
      <c r="BE137" s="57" t="n">
        <v>0</v>
      </c>
      <c r="BF137" s="57">
        <f>137</f>
      </c>
      <c r="BH137" s="57">
        <f>G137*AO137</f>
      </c>
      <c r="BI137" s="57">
        <f>G137*AP137</f>
      </c>
      <c r="BJ137" s="57">
        <f>G137*H137</f>
      </c>
      <c r="BK137" s="57"/>
      <c r="BL137" s="57" t="n">
        <v>59</v>
      </c>
      <c r="BW137" s="57" t="n">
        <v>21</v>
      </c>
      <c r="BX137" s="16" t="s">
        <v>149</v>
      </c>
    </row>
    <row r="138">
      <c r="A138" s="61"/>
      <c r="D138" s="62" t="s">
        <v>262</v>
      </c>
      <c r="E138" s="63" t="s">
        <v>51</v>
      </c>
      <c r="G138" s="64" t="n">
        <v>11.36</v>
      </c>
      <c r="L138" s="65"/>
    </row>
    <row r="139">
      <c r="A139" s="51" t="s">
        <v>51</v>
      </c>
      <c r="B139" s="52" t="s">
        <v>220</v>
      </c>
      <c r="C139" s="52" t="s">
        <v>151</v>
      </c>
      <c r="D139" s="53" t="s">
        <v>152</v>
      </c>
      <c r="E139" s="52"/>
      <c r="F139" s="54" t="s">
        <v>4</v>
      </c>
      <c r="G139" s="54" t="s">
        <v>4</v>
      </c>
      <c r="H139" s="55" t="s">
        <v>4</v>
      </c>
      <c r="I139" s="2">
        <f>SUM(I140:I142)</f>
      </c>
      <c r="J139" s="2">
        <f>SUM(J140:J142)</f>
      </c>
      <c r="K139" s="2">
        <f>SUM(K140:K142)</f>
      </c>
      <c r="L139" s="56" t="s">
        <v>51</v>
      </c>
      <c r="AI139" s="33" t="s">
        <v>220</v>
      </c>
      <c r="AS139" s="2">
        <f>SUM(AJ140:AJ142)</f>
      </c>
      <c r="AT139" s="2">
        <f>SUM(AK140:AK142)</f>
      </c>
      <c r="AU139" s="2">
        <f>SUM(AL140:AL142)</f>
      </c>
    </row>
    <row r="140" ht="24.75">
      <c r="A140" s="10" t="s">
        <v>263</v>
      </c>
      <c r="B140" s="11" t="s">
        <v>220</v>
      </c>
      <c r="C140" s="11" t="s">
        <v>264</v>
      </c>
      <c r="D140" s="16" t="s">
        <v>265</v>
      </c>
      <c r="E140" s="11"/>
      <c r="F140" s="11" t="s">
        <v>68</v>
      </c>
      <c r="G140" s="57" t="n">
        <v>3</v>
      </c>
      <c r="H140" s="58" t="n">
        <v>0</v>
      </c>
      <c r="I140" s="57">
        <f>G140*AO140</f>
      </c>
      <c r="J140" s="57">
        <f>G140*AP140</f>
      </c>
      <c r="K140" s="57">
        <f>G140*H140</f>
      </c>
      <c r="L140" s="59" t="s">
        <v>60</v>
      </c>
      <c r="Z140" s="57">
        <f>IF(AQ140="5",BJ140,0)</f>
      </c>
      <c r="AB140" s="57">
        <f>IF(AQ140="1",BH140,0)</f>
      </c>
      <c r="AC140" s="57">
        <f>IF(AQ140="1",BI140,0)</f>
      </c>
      <c r="AD140" s="57">
        <f>IF(AQ140="7",BH140,0)</f>
      </c>
      <c r="AE140" s="57">
        <f>IF(AQ140="7",BI140,0)</f>
      </c>
      <c r="AF140" s="57">
        <f>IF(AQ140="2",BH140,0)</f>
      </c>
      <c r="AG140" s="57">
        <f>IF(AQ140="2",BI140,0)</f>
      </c>
      <c r="AH140" s="57">
        <f>IF(AQ140="0",BJ140,0)</f>
      </c>
      <c r="AI140" s="33" t="s">
        <v>220</v>
      </c>
      <c r="AJ140" s="57">
        <f>IF(AN140=0,K140,0)</f>
      </c>
      <c r="AK140" s="57">
        <f>IF(AN140=12,K140,0)</f>
      </c>
      <c r="AL140" s="57">
        <f>IF(AN140=21,K140,0)</f>
      </c>
      <c r="AN140" s="57" t="n">
        <v>21</v>
      </c>
      <c r="AO140" s="57">
        <f>H140*0.566389776</f>
      </c>
      <c r="AP140" s="57">
        <f>H140*(1-0.566389776)</f>
      </c>
      <c r="AQ140" s="60" t="s">
        <v>56</v>
      </c>
      <c r="AV140" s="57">
        <f>AW140+AX140</f>
      </c>
      <c r="AW140" s="57">
        <f>G140*AO140</f>
      </c>
      <c r="AX140" s="57">
        <f>G140*AP140</f>
      </c>
      <c r="AY140" s="60" t="s">
        <v>155</v>
      </c>
      <c r="AZ140" s="60" t="s">
        <v>266</v>
      </c>
      <c r="BA140" s="33" t="s">
        <v>226</v>
      </c>
      <c r="BC140" s="57">
        <f>AW140+AX140</f>
      </c>
      <c r="BD140" s="57">
        <f>H140/(100-BE140)*100</f>
      </c>
      <c r="BE140" s="57" t="n">
        <v>0</v>
      </c>
      <c r="BF140" s="57">
        <f>140</f>
      </c>
      <c r="BH140" s="57">
        <f>G140*AO140</f>
      </c>
      <c r="BI140" s="57">
        <f>G140*AP140</f>
      </c>
      <c r="BJ140" s="57">
        <f>G140*H140</f>
      </c>
      <c r="BK140" s="57"/>
      <c r="BL140" s="57" t="n">
        <v>91</v>
      </c>
      <c r="BW140" s="57" t="n">
        <v>21</v>
      </c>
      <c r="BX140" s="16" t="s">
        <v>265</v>
      </c>
    </row>
    <row r="141" customHeight="true" ht="13.5">
      <c r="A141" s="61"/>
      <c r="C141" s="66" t="s">
        <v>69</v>
      </c>
      <c r="D141" s="67" t="s">
        <v>267</v>
      </c>
      <c r="E141" s="68"/>
      <c r="F141" s="68"/>
      <c r="G141" s="68"/>
      <c r="H141" s="69"/>
      <c r="I141" s="68"/>
      <c r="J141" s="68"/>
      <c r="K141" s="68"/>
      <c r="L141" s="70"/>
    </row>
    <row r="142" ht="24.75">
      <c r="A142" s="10" t="s">
        <v>268</v>
      </c>
      <c r="B142" s="11" t="s">
        <v>220</v>
      </c>
      <c r="C142" s="11" t="s">
        <v>153</v>
      </c>
      <c r="D142" s="16" t="s">
        <v>154</v>
      </c>
      <c r="E142" s="11"/>
      <c r="F142" s="11" t="s">
        <v>68</v>
      </c>
      <c r="G142" s="57" t="n">
        <v>25.4</v>
      </c>
      <c r="H142" s="58" t="n">
        <v>0</v>
      </c>
      <c r="I142" s="57">
        <f>G142*AO142</f>
      </c>
      <c r="J142" s="57">
        <f>G142*AP142</f>
      </c>
      <c r="K142" s="57">
        <f>G142*H142</f>
      </c>
      <c r="L142" s="59" t="s">
        <v>60</v>
      </c>
      <c r="Z142" s="57">
        <f>IF(AQ142="5",BJ142,0)</f>
      </c>
      <c r="AB142" s="57">
        <f>IF(AQ142="1",BH142,0)</f>
      </c>
      <c r="AC142" s="57">
        <f>IF(AQ142="1",BI142,0)</f>
      </c>
      <c r="AD142" s="57">
        <f>IF(AQ142="7",BH142,0)</f>
      </c>
      <c r="AE142" s="57">
        <f>IF(AQ142="7",BI142,0)</f>
      </c>
      <c r="AF142" s="57">
        <f>IF(AQ142="2",BH142,0)</f>
      </c>
      <c r="AG142" s="57">
        <f>IF(AQ142="2",BI142,0)</f>
      </c>
      <c r="AH142" s="57">
        <f>IF(AQ142="0",BJ142,0)</f>
      </c>
      <c r="AI142" s="33" t="s">
        <v>220</v>
      </c>
      <c r="AJ142" s="57">
        <f>IF(AN142=0,K142,0)</f>
      </c>
      <c r="AK142" s="57">
        <f>IF(AN142=12,K142,0)</f>
      </c>
      <c r="AL142" s="57">
        <f>IF(AN142=21,K142,0)</f>
      </c>
      <c r="AN142" s="57" t="n">
        <v>21</v>
      </c>
      <c r="AO142" s="57">
        <f>H142*0.572010376</f>
      </c>
      <c r="AP142" s="57">
        <f>H142*(1-0.572010376)</f>
      </c>
      <c r="AQ142" s="60" t="s">
        <v>56</v>
      </c>
      <c r="AV142" s="57">
        <f>AW142+AX142</f>
      </c>
      <c r="AW142" s="57">
        <f>G142*AO142</f>
      </c>
      <c r="AX142" s="57">
        <f>G142*AP142</f>
      </c>
      <c r="AY142" s="60" t="s">
        <v>155</v>
      </c>
      <c r="AZ142" s="60" t="s">
        <v>266</v>
      </c>
      <c r="BA142" s="33" t="s">
        <v>226</v>
      </c>
      <c r="BC142" s="57">
        <f>AW142+AX142</f>
      </c>
      <c r="BD142" s="57">
        <f>H142/(100-BE142)*100</f>
      </c>
      <c r="BE142" s="57" t="n">
        <v>0</v>
      </c>
      <c r="BF142" s="57">
        <f>142</f>
      </c>
      <c r="BH142" s="57">
        <f>G142*AO142</f>
      </c>
      <c r="BI142" s="57">
        <f>G142*AP142</f>
      </c>
      <c r="BJ142" s="57">
        <f>G142*H142</f>
      </c>
      <c r="BK142" s="57"/>
      <c r="BL142" s="57" t="n">
        <v>91</v>
      </c>
      <c r="BW142" s="57" t="n">
        <v>21</v>
      </c>
      <c r="BX142" s="16" t="s">
        <v>154</v>
      </c>
    </row>
    <row r="143">
      <c r="A143" s="61"/>
      <c r="D143" s="62" t="s">
        <v>269</v>
      </c>
      <c r="E143" s="63" t="s">
        <v>51</v>
      </c>
      <c r="G143" s="64" t="n">
        <v>25.4</v>
      </c>
      <c r="L143" s="65"/>
    </row>
    <row r="144" customHeight="true" ht="13.5">
      <c r="A144" s="61"/>
      <c r="C144" s="71" t="s">
        <v>87</v>
      </c>
      <c r="D144" s="72" t="s">
        <v>270</v>
      </c>
      <c r="E144" s="73"/>
      <c r="F144" s="73"/>
      <c r="G144" s="73"/>
      <c r="H144" s="74"/>
      <c r="I144" s="73"/>
      <c r="J144" s="73"/>
      <c r="K144" s="73"/>
      <c r="L144" s="75"/>
    </row>
    <row r="145">
      <c r="A145" s="51" t="s">
        <v>51</v>
      </c>
      <c r="B145" s="52" t="s">
        <v>220</v>
      </c>
      <c r="C145" s="52" t="s">
        <v>159</v>
      </c>
      <c r="D145" s="53" t="s">
        <v>160</v>
      </c>
      <c r="E145" s="52"/>
      <c r="F145" s="54" t="s">
        <v>4</v>
      </c>
      <c r="G145" s="54" t="s">
        <v>4</v>
      </c>
      <c r="H145" s="55" t="s">
        <v>4</v>
      </c>
      <c r="I145" s="2">
        <f>SUM(I146:I146)</f>
      </c>
      <c r="J145" s="2">
        <f>SUM(J146:J146)</f>
      </c>
      <c r="K145" s="2">
        <f>SUM(K146:K146)</f>
      </c>
      <c r="L145" s="56" t="s">
        <v>51</v>
      </c>
      <c r="AI145" s="33" t="s">
        <v>220</v>
      </c>
      <c r="AS145" s="2">
        <f>SUM(AJ146:AJ146)</f>
      </c>
      <c r="AT145" s="2">
        <f>SUM(AK146:AK146)</f>
      </c>
      <c r="AU145" s="2">
        <f>SUM(AL146:AL146)</f>
      </c>
    </row>
    <row r="146">
      <c r="A146" s="10" t="s">
        <v>271</v>
      </c>
      <c r="B146" s="11" t="s">
        <v>220</v>
      </c>
      <c r="C146" s="11" t="s">
        <v>162</v>
      </c>
      <c r="D146" s="16" t="s">
        <v>163</v>
      </c>
      <c r="E146" s="11"/>
      <c r="F146" s="11" t="s">
        <v>164</v>
      </c>
      <c r="G146" s="57" t="n">
        <v>304.9</v>
      </c>
      <c r="H146" s="58" t="n">
        <v>0</v>
      </c>
      <c r="I146" s="57">
        <f>G146*AO146</f>
      </c>
      <c r="J146" s="57">
        <f>G146*AP146</f>
      </c>
      <c r="K146" s="57">
        <f>G146*H146</f>
      </c>
      <c r="L146" s="59" t="s">
        <v>60</v>
      </c>
      <c r="Z146" s="57">
        <f>IF(AQ146="5",BJ146,0)</f>
      </c>
      <c r="AB146" s="57">
        <f>IF(AQ146="1",BH146,0)</f>
      </c>
      <c r="AC146" s="57">
        <f>IF(AQ146="1",BI146,0)</f>
      </c>
      <c r="AD146" s="57">
        <f>IF(AQ146="7",BH146,0)</f>
      </c>
      <c r="AE146" s="57">
        <f>IF(AQ146="7",BI146,0)</f>
      </c>
      <c r="AF146" s="57">
        <f>IF(AQ146="2",BH146,0)</f>
      </c>
      <c r="AG146" s="57">
        <f>IF(AQ146="2",BI146,0)</f>
      </c>
      <c r="AH146" s="57">
        <f>IF(AQ146="0",BJ146,0)</f>
      </c>
      <c r="AI146" s="33" t="s">
        <v>220</v>
      </c>
      <c r="AJ146" s="57">
        <f>IF(AN146=0,K146,0)</f>
      </c>
      <c r="AK146" s="57">
        <f>IF(AN146=12,K146,0)</f>
      </c>
      <c r="AL146" s="57">
        <f>IF(AN146=21,K146,0)</f>
      </c>
      <c r="AN146" s="57" t="n">
        <v>21</v>
      </c>
      <c r="AO146" s="57">
        <f>H146*0</f>
      </c>
      <c r="AP146" s="57">
        <f>H146*(1-0)</f>
      </c>
      <c r="AQ146" s="60" t="s">
        <v>89</v>
      </c>
      <c r="AV146" s="57">
        <f>AW146+AX146</f>
      </c>
      <c r="AW146" s="57">
        <f>G146*AO146</f>
      </c>
      <c r="AX146" s="57">
        <f>G146*AP146</f>
      </c>
      <c r="AY146" s="60" t="s">
        <v>165</v>
      </c>
      <c r="AZ146" s="60" t="s">
        <v>266</v>
      </c>
      <c r="BA146" s="33" t="s">
        <v>226</v>
      </c>
      <c r="BC146" s="57">
        <f>AW146+AX146</f>
      </c>
      <c r="BD146" s="57">
        <f>H146/(100-BE146)*100</f>
      </c>
      <c r="BE146" s="57" t="n">
        <v>0</v>
      </c>
      <c r="BF146" s="57">
        <f>146</f>
      </c>
      <c r="BH146" s="57">
        <f>G146*AO146</f>
      </c>
      <c r="BI146" s="57">
        <f>G146*AP146</f>
      </c>
      <c r="BJ146" s="57">
        <f>G146*H146</f>
      </c>
      <c r="BK146" s="57"/>
      <c r="BL146" s="57"/>
      <c r="BW146" s="57" t="n">
        <v>21</v>
      </c>
      <c r="BX146" s="16" t="s">
        <v>163</v>
      </c>
    </row>
    <row r="147">
      <c r="A147" s="61"/>
      <c r="D147" s="62" t="s">
        <v>272</v>
      </c>
      <c r="E147" s="63" t="s">
        <v>51</v>
      </c>
      <c r="G147" s="64" t="n">
        <v>304.9</v>
      </c>
      <c r="L147" s="65"/>
    </row>
    <row r="148">
      <c r="A148" s="51" t="s">
        <v>51</v>
      </c>
      <c r="B148" s="52" t="s">
        <v>220</v>
      </c>
      <c r="C148" s="52" t="s">
        <v>167</v>
      </c>
      <c r="D148" s="53" t="s">
        <v>168</v>
      </c>
      <c r="E148" s="52"/>
      <c r="F148" s="54" t="s">
        <v>4</v>
      </c>
      <c r="G148" s="54" t="s">
        <v>4</v>
      </c>
      <c r="H148" s="55" t="s">
        <v>4</v>
      </c>
      <c r="I148" s="2">
        <f>SUM(I149:I159)</f>
      </c>
      <c r="J148" s="2">
        <f>SUM(J149:J159)</f>
      </c>
      <c r="K148" s="2">
        <f>SUM(K149:K159)</f>
      </c>
      <c r="L148" s="56" t="s">
        <v>51</v>
      </c>
      <c r="AI148" s="33" t="s">
        <v>220</v>
      </c>
      <c r="AS148" s="2">
        <f>SUM(AJ149:AJ159)</f>
      </c>
      <c r="AT148" s="2">
        <f>SUM(AK149:AK159)</f>
      </c>
      <c r="AU148" s="2">
        <f>SUM(AL149:AL159)</f>
      </c>
    </row>
    <row r="149">
      <c r="A149" s="10" t="s">
        <v>273</v>
      </c>
      <c r="B149" s="11" t="s">
        <v>220</v>
      </c>
      <c r="C149" s="11" t="s">
        <v>170</v>
      </c>
      <c r="D149" s="16" t="s">
        <v>171</v>
      </c>
      <c r="E149" s="11"/>
      <c r="F149" s="11" t="s">
        <v>164</v>
      </c>
      <c r="G149" s="57" t="n">
        <v>229.5</v>
      </c>
      <c r="H149" s="58" t="n">
        <v>0</v>
      </c>
      <c r="I149" s="57">
        <f>G149*AO149</f>
      </c>
      <c r="J149" s="57">
        <f>G149*AP149</f>
      </c>
      <c r="K149" s="57">
        <f>G149*H149</f>
      </c>
      <c r="L149" s="59" t="s">
        <v>60</v>
      </c>
      <c r="Z149" s="57">
        <f>IF(AQ149="5",BJ149,0)</f>
      </c>
      <c r="AB149" s="57">
        <f>IF(AQ149="1",BH149,0)</f>
      </c>
      <c r="AC149" s="57">
        <f>IF(AQ149="1",BI149,0)</f>
      </c>
      <c r="AD149" s="57">
        <f>IF(AQ149="7",BH149,0)</f>
      </c>
      <c r="AE149" s="57">
        <f>IF(AQ149="7",BI149,0)</f>
      </c>
      <c r="AF149" s="57">
        <f>IF(AQ149="2",BH149,0)</f>
      </c>
      <c r="AG149" s="57">
        <f>IF(AQ149="2",BI149,0)</f>
      </c>
      <c r="AH149" s="57">
        <f>IF(AQ149="0",BJ149,0)</f>
      </c>
      <c r="AI149" s="33" t="s">
        <v>220</v>
      </c>
      <c r="AJ149" s="57">
        <f>IF(AN149=0,K149,0)</f>
      </c>
      <c r="AK149" s="57">
        <f>IF(AN149=12,K149,0)</f>
      </c>
      <c r="AL149" s="57">
        <f>IF(AN149=21,K149,0)</f>
      </c>
      <c r="AN149" s="57" t="n">
        <v>21</v>
      </c>
      <c r="AO149" s="57">
        <f>H149*0</f>
      </c>
      <c r="AP149" s="57">
        <f>H149*(1-0)</f>
      </c>
      <c r="AQ149" s="60" t="s">
        <v>89</v>
      </c>
      <c r="AV149" s="57">
        <f>AW149+AX149</f>
      </c>
      <c r="AW149" s="57">
        <f>G149*AO149</f>
      </c>
      <c r="AX149" s="57">
        <f>G149*AP149</f>
      </c>
      <c r="AY149" s="60" t="s">
        <v>172</v>
      </c>
      <c r="AZ149" s="60" t="s">
        <v>266</v>
      </c>
      <c r="BA149" s="33" t="s">
        <v>226</v>
      </c>
      <c r="BC149" s="57">
        <f>AW149+AX149</f>
      </c>
      <c r="BD149" s="57">
        <f>H149/(100-BE149)*100</f>
      </c>
      <c r="BE149" s="57" t="n">
        <v>0</v>
      </c>
      <c r="BF149" s="57">
        <f>149</f>
      </c>
      <c r="BH149" s="57">
        <f>G149*AO149</f>
      </c>
      <c r="BI149" s="57">
        <f>G149*AP149</f>
      </c>
      <c r="BJ149" s="57">
        <f>G149*H149</f>
      </c>
      <c r="BK149" s="57"/>
      <c r="BL149" s="57"/>
      <c r="BW149" s="57" t="n">
        <v>21</v>
      </c>
      <c r="BX149" s="16" t="s">
        <v>171</v>
      </c>
    </row>
    <row r="150">
      <c r="A150" s="10" t="s">
        <v>274</v>
      </c>
      <c r="B150" s="11" t="s">
        <v>220</v>
      </c>
      <c r="C150" s="11" t="s">
        <v>174</v>
      </c>
      <c r="D150" s="16" t="s">
        <v>175</v>
      </c>
      <c r="E150" s="11"/>
      <c r="F150" s="11" t="s">
        <v>164</v>
      </c>
      <c r="G150" s="57" t="n">
        <v>2065.5</v>
      </c>
      <c r="H150" s="58" t="n">
        <v>0</v>
      </c>
      <c r="I150" s="57">
        <f>G150*AO150</f>
      </c>
      <c r="J150" s="57">
        <f>G150*AP150</f>
      </c>
      <c r="K150" s="57">
        <f>G150*H150</f>
      </c>
      <c r="L150" s="59" t="s">
        <v>60</v>
      </c>
      <c r="Z150" s="57">
        <f>IF(AQ150="5",BJ150,0)</f>
      </c>
      <c r="AB150" s="57">
        <f>IF(AQ150="1",BH150,0)</f>
      </c>
      <c r="AC150" s="57">
        <f>IF(AQ150="1",BI150,0)</f>
      </c>
      <c r="AD150" s="57">
        <f>IF(AQ150="7",BH150,0)</f>
      </c>
      <c r="AE150" s="57">
        <f>IF(AQ150="7",BI150,0)</f>
      </c>
      <c r="AF150" s="57">
        <f>IF(AQ150="2",BH150,0)</f>
      </c>
      <c r="AG150" s="57">
        <f>IF(AQ150="2",BI150,0)</f>
      </c>
      <c r="AH150" s="57">
        <f>IF(AQ150="0",BJ150,0)</f>
      </c>
      <c r="AI150" s="33" t="s">
        <v>220</v>
      </c>
      <c r="AJ150" s="57">
        <f>IF(AN150=0,K150,0)</f>
      </c>
      <c r="AK150" s="57">
        <f>IF(AN150=12,K150,0)</f>
      </c>
      <c r="AL150" s="57">
        <f>IF(AN150=21,K150,0)</f>
      </c>
      <c r="AN150" s="57" t="n">
        <v>21</v>
      </c>
      <c r="AO150" s="57">
        <f>H150*0</f>
      </c>
      <c r="AP150" s="57">
        <f>H150*(1-0)</f>
      </c>
      <c r="AQ150" s="60" t="s">
        <v>89</v>
      </c>
      <c r="AV150" s="57">
        <f>AW150+AX150</f>
      </c>
      <c r="AW150" s="57">
        <f>G150*AO150</f>
      </c>
      <c r="AX150" s="57">
        <f>G150*AP150</f>
      </c>
      <c r="AY150" s="60" t="s">
        <v>172</v>
      </c>
      <c r="AZ150" s="60" t="s">
        <v>266</v>
      </c>
      <c r="BA150" s="33" t="s">
        <v>226</v>
      </c>
      <c r="BC150" s="57">
        <f>AW150+AX150</f>
      </c>
      <c r="BD150" s="57">
        <f>H150/(100-BE150)*100</f>
      </c>
      <c r="BE150" s="57" t="n">
        <v>0</v>
      </c>
      <c r="BF150" s="57">
        <f>150</f>
      </c>
      <c r="BH150" s="57">
        <f>G150*AO150</f>
      </c>
      <c r="BI150" s="57">
        <f>G150*AP150</f>
      </c>
      <c r="BJ150" s="57">
        <f>G150*H150</f>
      </c>
      <c r="BK150" s="57"/>
      <c r="BL150" s="57"/>
      <c r="BW150" s="57" t="n">
        <v>21</v>
      </c>
      <c r="BX150" s="16" t="s">
        <v>175</v>
      </c>
    </row>
    <row r="151">
      <c r="A151" s="61"/>
      <c r="D151" s="62" t="s">
        <v>275</v>
      </c>
      <c r="E151" s="63" t="s">
        <v>51</v>
      </c>
      <c r="G151" s="64" t="n">
        <v>2065.5</v>
      </c>
      <c r="L151" s="65"/>
    </row>
    <row r="152" customHeight="true" ht="13.5">
      <c r="A152" s="61"/>
      <c r="C152" s="71" t="s">
        <v>87</v>
      </c>
      <c r="D152" s="72" t="s">
        <v>177</v>
      </c>
      <c r="E152" s="73"/>
      <c r="F152" s="73"/>
      <c r="G152" s="73"/>
      <c r="H152" s="74"/>
      <c r="I152" s="73"/>
      <c r="J152" s="73"/>
      <c r="K152" s="73"/>
      <c r="L152" s="75"/>
    </row>
    <row r="153">
      <c r="A153" s="10" t="s">
        <v>276</v>
      </c>
      <c r="B153" s="11" t="s">
        <v>220</v>
      </c>
      <c r="C153" s="11" t="s">
        <v>179</v>
      </c>
      <c r="D153" s="16" t="s">
        <v>180</v>
      </c>
      <c r="E153" s="11"/>
      <c r="F153" s="11" t="s">
        <v>164</v>
      </c>
      <c r="G153" s="57" t="n">
        <v>76.96</v>
      </c>
      <c r="H153" s="58" t="n">
        <v>0</v>
      </c>
      <c r="I153" s="57">
        <f>G153*AO153</f>
      </c>
      <c r="J153" s="57">
        <f>G153*AP153</f>
      </c>
      <c r="K153" s="57">
        <f>G153*H153</f>
      </c>
      <c r="L153" s="59" t="s">
        <v>60</v>
      </c>
      <c r="Z153" s="57">
        <f>IF(AQ153="5",BJ153,0)</f>
      </c>
      <c r="AB153" s="57">
        <f>IF(AQ153="1",BH153,0)</f>
      </c>
      <c r="AC153" s="57">
        <f>IF(AQ153="1",BI153,0)</f>
      </c>
      <c r="AD153" s="57">
        <f>IF(AQ153="7",BH153,0)</f>
      </c>
      <c r="AE153" s="57">
        <f>IF(AQ153="7",BI153,0)</f>
      </c>
      <c r="AF153" s="57">
        <f>IF(AQ153="2",BH153,0)</f>
      </c>
      <c r="AG153" s="57">
        <f>IF(AQ153="2",BI153,0)</f>
      </c>
      <c r="AH153" s="57">
        <f>IF(AQ153="0",BJ153,0)</f>
      </c>
      <c r="AI153" s="33" t="s">
        <v>220</v>
      </c>
      <c r="AJ153" s="57">
        <f>IF(AN153=0,K153,0)</f>
      </c>
      <c r="AK153" s="57">
        <f>IF(AN153=12,K153,0)</f>
      </c>
      <c r="AL153" s="57">
        <f>IF(AN153=21,K153,0)</f>
      </c>
      <c r="AN153" s="57" t="n">
        <v>21</v>
      </c>
      <c r="AO153" s="57">
        <f>H153*0</f>
      </c>
      <c r="AP153" s="57">
        <f>H153*(1-0)</f>
      </c>
      <c r="AQ153" s="60" t="s">
        <v>89</v>
      </c>
      <c r="AV153" s="57">
        <f>AW153+AX153</f>
      </c>
      <c r="AW153" s="57">
        <f>G153*AO153</f>
      </c>
      <c r="AX153" s="57">
        <f>G153*AP153</f>
      </c>
      <c r="AY153" s="60" t="s">
        <v>172</v>
      </c>
      <c r="AZ153" s="60" t="s">
        <v>266</v>
      </c>
      <c r="BA153" s="33" t="s">
        <v>226</v>
      </c>
      <c r="BC153" s="57">
        <f>AW153+AX153</f>
      </c>
      <c r="BD153" s="57">
        <f>H153/(100-BE153)*100</f>
      </c>
      <c r="BE153" s="57" t="n">
        <v>0</v>
      </c>
      <c r="BF153" s="57">
        <f>153</f>
      </c>
      <c r="BH153" s="57">
        <f>G153*AO153</f>
      </c>
      <c r="BI153" s="57">
        <f>G153*AP153</f>
      </c>
      <c r="BJ153" s="57">
        <f>G153*H153</f>
      </c>
      <c r="BK153" s="57"/>
      <c r="BL153" s="57"/>
      <c r="BW153" s="57" t="n">
        <v>21</v>
      </c>
      <c r="BX153" s="16" t="s">
        <v>180</v>
      </c>
    </row>
    <row r="154" customHeight="true" ht="13.5">
      <c r="A154" s="61"/>
      <c r="C154" s="66" t="s">
        <v>69</v>
      </c>
      <c r="D154" s="67" t="s">
        <v>145</v>
      </c>
      <c r="E154" s="68"/>
      <c r="F154" s="68"/>
      <c r="G154" s="68"/>
      <c r="H154" s="69"/>
      <c r="I154" s="68"/>
      <c r="J154" s="68"/>
      <c r="K154" s="68"/>
      <c r="L154" s="70"/>
    </row>
    <row r="155">
      <c r="A155" s="61"/>
      <c r="D155" s="62" t="s">
        <v>277</v>
      </c>
      <c r="E155" s="63" t="s">
        <v>51</v>
      </c>
      <c r="G155" s="64" t="n">
        <v>76.96</v>
      </c>
      <c r="L155" s="65"/>
    </row>
    <row r="156" customHeight="true" ht="13.5">
      <c r="A156" s="61"/>
      <c r="C156" s="71" t="s">
        <v>87</v>
      </c>
      <c r="D156" s="72" t="s">
        <v>182</v>
      </c>
      <c r="E156" s="73"/>
      <c r="F156" s="73"/>
      <c r="G156" s="73"/>
      <c r="H156" s="74"/>
      <c r="I156" s="73"/>
      <c r="J156" s="73"/>
      <c r="K156" s="73"/>
      <c r="L156" s="75"/>
    </row>
    <row r="157">
      <c r="A157" s="10" t="s">
        <v>278</v>
      </c>
      <c r="B157" s="11" t="s">
        <v>220</v>
      </c>
      <c r="C157" s="11" t="s">
        <v>184</v>
      </c>
      <c r="D157" s="16" t="s">
        <v>185</v>
      </c>
      <c r="E157" s="11"/>
      <c r="F157" s="11" t="s">
        <v>164</v>
      </c>
      <c r="G157" s="57" t="n">
        <v>76.96</v>
      </c>
      <c r="H157" s="58" t="n">
        <v>0</v>
      </c>
      <c r="I157" s="57">
        <f>G157*AO157</f>
      </c>
      <c r="J157" s="57">
        <f>G157*AP157</f>
      </c>
      <c r="K157" s="57">
        <f>G157*H157</f>
      </c>
      <c r="L157" s="59" t="s">
        <v>60</v>
      </c>
      <c r="Z157" s="57">
        <f>IF(AQ157="5",BJ157,0)</f>
      </c>
      <c r="AB157" s="57">
        <f>IF(AQ157="1",BH157,0)</f>
      </c>
      <c r="AC157" s="57">
        <f>IF(AQ157="1",BI157,0)</f>
      </c>
      <c r="AD157" s="57">
        <f>IF(AQ157="7",BH157,0)</f>
      </c>
      <c r="AE157" s="57">
        <f>IF(AQ157="7",BI157,0)</f>
      </c>
      <c r="AF157" s="57">
        <f>IF(AQ157="2",BH157,0)</f>
      </c>
      <c r="AG157" s="57">
        <f>IF(AQ157="2",BI157,0)</f>
      </c>
      <c r="AH157" s="57">
        <f>IF(AQ157="0",BJ157,0)</f>
      </c>
      <c r="AI157" s="33" t="s">
        <v>220</v>
      </c>
      <c r="AJ157" s="57">
        <f>IF(AN157=0,K157,0)</f>
      </c>
      <c r="AK157" s="57">
        <f>IF(AN157=12,K157,0)</f>
      </c>
      <c r="AL157" s="57">
        <f>IF(AN157=21,K157,0)</f>
      </c>
      <c r="AN157" s="57" t="n">
        <v>21</v>
      </c>
      <c r="AO157" s="57">
        <f>H157*0</f>
      </c>
      <c r="AP157" s="57">
        <f>H157*(1-0)</f>
      </c>
      <c r="AQ157" s="60" t="s">
        <v>89</v>
      </c>
      <c r="AV157" s="57">
        <f>AW157+AX157</f>
      </c>
      <c r="AW157" s="57">
        <f>G157*AO157</f>
      </c>
      <c r="AX157" s="57">
        <f>G157*AP157</f>
      </c>
      <c r="AY157" s="60" t="s">
        <v>172</v>
      </c>
      <c r="AZ157" s="60" t="s">
        <v>266</v>
      </c>
      <c r="BA157" s="33" t="s">
        <v>226</v>
      </c>
      <c r="BC157" s="57">
        <f>AW157+AX157</f>
      </c>
      <c r="BD157" s="57">
        <f>H157/(100-BE157)*100</f>
      </c>
      <c r="BE157" s="57" t="n">
        <v>0</v>
      </c>
      <c r="BF157" s="57">
        <f>157</f>
      </c>
      <c r="BH157" s="57">
        <f>G157*AO157</f>
      </c>
      <c r="BI157" s="57">
        <f>G157*AP157</f>
      </c>
      <c r="BJ157" s="57">
        <f>G157*H157</f>
      </c>
      <c r="BK157" s="57"/>
      <c r="BL157" s="57"/>
      <c r="BW157" s="57" t="n">
        <v>21</v>
      </c>
      <c r="BX157" s="16" t="s">
        <v>185</v>
      </c>
    </row>
    <row r="158" customHeight="true" ht="13.5">
      <c r="A158" s="61"/>
      <c r="C158" s="66" t="s">
        <v>69</v>
      </c>
      <c r="D158" s="67" t="s">
        <v>145</v>
      </c>
      <c r="E158" s="68"/>
      <c r="F158" s="68"/>
      <c r="G158" s="68"/>
      <c r="H158" s="69"/>
      <c r="I158" s="68"/>
      <c r="J158" s="68"/>
      <c r="K158" s="68"/>
      <c r="L158" s="70"/>
    </row>
    <row r="159">
      <c r="A159" s="10" t="s">
        <v>279</v>
      </c>
      <c r="B159" s="11" t="s">
        <v>220</v>
      </c>
      <c r="C159" s="11" t="s">
        <v>187</v>
      </c>
      <c r="D159" s="16" t="s">
        <v>280</v>
      </c>
      <c r="E159" s="11"/>
      <c r="F159" s="11" t="s">
        <v>164</v>
      </c>
      <c r="G159" s="57" t="n">
        <v>229.5</v>
      </c>
      <c r="H159" s="58" t="n">
        <v>0</v>
      </c>
      <c r="I159" s="57">
        <f>G159*AO159</f>
      </c>
      <c r="J159" s="57">
        <f>G159*AP159</f>
      </c>
      <c r="K159" s="57">
        <f>G159*H159</f>
      </c>
      <c r="L159" s="59" t="s">
        <v>60</v>
      </c>
      <c r="Z159" s="57">
        <f>IF(AQ159="5",BJ159,0)</f>
      </c>
      <c r="AB159" s="57">
        <f>IF(AQ159="1",BH159,0)</f>
      </c>
      <c r="AC159" s="57">
        <f>IF(AQ159="1",BI159,0)</f>
      </c>
      <c r="AD159" s="57">
        <f>IF(AQ159="7",BH159,0)</f>
      </c>
      <c r="AE159" s="57">
        <f>IF(AQ159="7",BI159,0)</f>
      </c>
      <c r="AF159" s="57">
        <f>IF(AQ159="2",BH159,0)</f>
      </c>
      <c r="AG159" s="57">
        <f>IF(AQ159="2",BI159,0)</f>
      </c>
      <c r="AH159" s="57">
        <f>IF(AQ159="0",BJ159,0)</f>
      </c>
      <c r="AI159" s="33" t="s">
        <v>220</v>
      </c>
      <c r="AJ159" s="57">
        <f>IF(AN159=0,K159,0)</f>
      </c>
      <c r="AK159" s="57">
        <f>IF(AN159=12,K159,0)</f>
      </c>
      <c r="AL159" s="57">
        <f>IF(AN159=21,K159,0)</f>
      </c>
      <c r="AN159" s="57" t="n">
        <v>21</v>
      </c>
      <c r="AO159" s="57">
        <f>H159*0</f>
      </c>
      <c r="AP159" s="57">
        <f>H159*(1-0)</f>
      </c>
      <c r="AQ159" s="60" t="s">
        <v>89</v>
      </c>
      <c r="AV159" s="57">
        <f>AW159+AX159</f>
      </c>
      <c r="AW159" s="57">
        <f>G159*AO159</f>
      </c>
      <c r="AX159" s="57">
        <f>G159*AP159</f>
      </c>
      <c r="AY159" s="60" t="s">
        <v>172</v>
      </c>
      <c r="AZ159" s="60" t="s">
        <v>266</v>
      </c>
      <c r="BA159" s="33" t="s">
        <v>226</v>
      </c>
      <c r="BC159" s="57">
        <f>AW159+AX159</f>
      </c>
      <c r="BD159" s="57">
        <f>H159/(100-BE159)*100</f>
      </c>
      <c r="BE159" s="57" t="n">
        <v>0</v>
      </c>
      <c r="BF159" s="57">
        <f>159</f>
      </c>
      <c r="BH159" s="57">
        <f>G159*AO159</f>
      </c>
      <c r="BI159" s="57">
        <f>G159*AP159</f>
      </c>
      <c r="BJ159" s="57">
        <f>G159*H159</f>
      </c>
      <c r="BK159" s="57"/>
      <c r="BL159" s="57"/>
      <c r="BW159" s="57" t="n">
        <v>21</v>
      </c>
      <c r="BX159" s="16" t="s">
        <v>280</v>
      </c>
    </row>
    <row r="160" customHeight="true" ht="13.5">
      <c r="A160" s="61"/>
      <c r="C160" s="71" t="s">
        <v>87</v>
      </c>
      <c r="D160" s="72" t="s">
        <v>189</v>
      </c>
      <c r="E160" s="73"/>
      <c r="F160" s="73"/>
      <c r="G160" s="73"/>
      <c r="H160" s="74"/>
      <c r="I160" s="73"/>
      <c r="J160" s="73"/>
      <c r="K160" s="73"/>
      <c r="L160" s="75"/>
    </row>
    <row r="161">
      <c r="A161" s="51" t="s">
        <v>51</v>
      </c>
      <c r="B161" s="52" t="s">
        <v>220</v>
      </c>
      <c r="C161" s="52" t="s">
        <v>190</v>
      </c>
      <c r="D161" s="53" t="s">
        <v>191</v>
      </c>
      <c r="E161" s="52"/>
      <c r="F161" s="54" t="s">
        <v>4</v>
      </c>
      <c r="G161" s="54" t="s">
        <v>4</v>
      </c>
      <c r="H161" s="55" t="s">
        <v>4</v>
      </c>
      <c r="I161" s="2">
        <f>SUM(I162:I178)</f>
      </c>
      <c r="J161" s="2">
        <f>SUM(J162:J178)</f>
      </c>
      <c r="K161" s="2">
        <f>SUM(K162:K178)</f>
      </c>
      <c r="L161" s="56" t="s">
        <v>51</v>
      </c>
      <c r="AI161" s="33" t="s">
        <v>220</v>
      </c>
      <c r="AS161" s="2">
        <f>SUM(AJ162:AJ178)</f>
      </c>
      <c r="AT161" s="2">
        <f>SUM(AK162:AK178)</f>
      </c>
      <c r="AU161" s="2">
        <f>SUM(AL162:AL178)</f>
      </c>
    </row>
    <row r="162">
      <c r="A162" s="10" t="s">
        <v>126</v>
      </c>
      <c r="B162" s="11" t="s">
        <v>220</v>
      </c>
      <c r="C162" s="11" t="s">
        <v>193</v>
      </c>
      <c r="D162" s="16" t="s">
        <v>194</v>
      </c>
      <c r="E162" s="11"/>
      <c r="F162" s="11" t="s">
        <v>195</v>
      </c>
      <c r="G162" s="57" t="n">
        <v>0.6</v>
      </c>
      <c r="H162" s="58" t="n">
        <v>0</v>
      </c>
      <c r="I162" s="57">
        <f>G162*AO162</f>
      </c>
      <c r="J162" s="57">
        <f>G162*AP162</f>
      </c>
      <c r="K162" s="57">
        <f>G162*H162</f>
      </c>
      <c r="L162" s="59" t="s">
        <v>60</v>
      </c>
      <c r="Z162" s="57">
        <f>IF(AQ162="5",BJ162,0)</f>
      </c>
      <c r="AB162" s="57">
        <f>IF(AQ162="1",BH162,0)</f>
      </c>
      <c r="AC162" s="57">
        <f>IF(AQ162="1",BI162,0)</f>
      </c>
      <c r="AD162" s="57">
        <f>IF(AQ162="7",BH162,0)</f>
      </c>
      <c r="AE162" s="57">
        <f>IF(AQ162="7",BI162,0)</f>
      </c>
      <c r="AF162" s="57">
        <f>IF(AQ162="2",BH162,0)</f>
      </c>
      <c r="AG162" s="57">
        <f>IF(AQ162="2",BI162,0)</f>
      </c>
      <c r="AH162" s="57">
        <f>IF(AQ162="0",BJ162,0)</f>
      </c>
      <c r="AI162" s="33" t="s">
        <v>220</v>
      </c>
      <c r="AJ162" s="57">
        <f>IF(AN162=0,K162,0)</f>
      </c>
      <c r="AK162" s="57">
        <f>IF(AN162=12,K162,0)</f>
      </c>
      <c r="AL162" s="57">
        <f>IF(AN162=21,K162,0)</f>
      </c>
      <c r="AN162" s="57" t="n">
        <v>21</v>
      </c>
      <c r="AO162" s="57">
        <f>H162*1</f>
      </c>
      <c r="AP162" s="57">
        <f>H162*(1-1)</f>
      </c>
      <c r="AQ162" s="60" t="s">
        <v>196</v>
      </c>
      <c r="AV162" s="57">
        <f>AW162+AX162</f>
      </c>
      <c r="AW162" s="57">
        <f>G162*AO162</f>
      </c>
      <c r="AX162" s="57">
        <f>G162*AP162</f>
      </c>
      <c r="AY162" s="60" t="s">
        <v>197</v>
      </c>
      <c r="AZ162" s="60" t="s">
        <v>281</v>
      </c>
      <c r="BA162" s="33" t="s">
        <v>226</v>
      </c>
      <c r="BC162" s="57">
        <f>AW162+AX162</f>
      </c>
      <c r="BD162" s="57">
        <f>H162/(100-BE162)*100</f>
      </c>
      <c r="BE162" s="57" t="n">
        <v>0</v>
      </c>
      <c r="BF162" s="57">
        <f>162</f>
      </c>
      <c r="BH162" s="57">
        <f>G162*AO162</f>
      </c>
      <c r="BI162" s="57">
        <f>G162*AP162</f>
      </c>
      <c r="BJ162" s="57">
        <f>G162*H162</f>
      </c>
      <c r="BK162" s="57"/>
      <c r="BL162" s="57"/>
      <c r="BW162" s="57" t="n">
        <v>21</v>
      </c>
      <c r="BX162" s="16" t="s">
        <v>194</v>
      </c>
    </row>
    <row r="163">
      <c r="A163" s="61"/>
      <c r="D163" s="62" t="s">
        <v>282</v>
      </c>
      <c r="E163" s="63" t="s">
        <v>51</v>
      </c>
      <c r="G163" s="64" t="n">
        <v>0.6</v>
      </c>
      <c r="L163" s="65"/>
    </row>
    <row r="164">
      <c r="A164" s="10" t="s">
        <v>252</v>
      </c>
      <c r="B164" s="11" t="s">
        <v>220</v>
      </c>
      <c r="C164" s="11" t="s">
        <v>201</v>
      </c>
      <c r="D164" s="16" t="s">
        <v>202</v>
      </c>
      <c r="E164" s="11"/>
      <c r="F164" s="11" t="s">
        <v>164</v>
      </c>
      <c r="G164" s="57" t="n">
        <v>26.13</v>
      </c>
      <c r="H164" s="58" t="n">
        <v>0</v>
      </c>
      <c r="I164" s="57">
        <f>G164*AO164</f>
      </c>
      <c r="J164" s="57">
        <f>G164*AP164</f>
      </c>
      <c r="K164" s="57">
        <f>G164*H164</f>
      </c>
      <c r="L164" s="59" t="s">
        <v>60</v>
      </c>
      <c r="Z164" s="57">
        <f>IF(AQ164="5",BJ164,0)</f>
      </c>
      <c r="AB164" s="57">
        <f>IF(AQ164="1",BH164,0)</f>
      </c>
      <c r="AC164" s="57">
        <f>IF(AQ164="1",BI164,0)</f>
      </c>
      <c r="AD164" s="57">
        <f>IF(AQ164="7",BH164,0)</f>
      </c>
      <c r="AE164" s="57">
        <f>IF(AQ164="7",BI164,0)</f>
      </c>
      <c r="AF164" s="57">
        <f>IF(AQ164="2",BH164,0)</f>
      </c>
      <c r="AG164" s="57">
        <f>IF(AQ164="2",BI164,0)</f>
      </c>
      <c r="AH164" s="57">
        <f>IF(AQ164="0",BJ164,0)</f>
      </c>
      <c r="AI164" s="33" t="s">
        <v>220</v>
      </c>
      <c r="AJ164" s="57">
        <f>IF(AN164=0,K164,0)</f>
      </c>
      <c r="AK164" s="57">
        <f>IF(AN164=12,K164,0)</f>
      </c>
      <c r="AL164" s="57">
        <f>IF(AN164=21,K164,0)</f>
      </c>
      <c r="AN164" s="57" t="n">
        <v>21</v>
      </c>
      <c r="AO164" s="57">
        <f>H164*1</f>
      </c>
      <c r="AP164" s="57">
        <f>H164*(1-1)</f>
      </c>
      <c r="AQ164" s="60" t="s">
        <v>196</v>
      </c>
      <c r="AV164" s="57">
        <f>AW164+AX164</f>
      </c>
      <c r="AW164" s="57">
        <f>G164*AO164</f>
      </c>
      <c r="AX164" s="57">
        <f>G164*AP164</f>
      </c>
      <c r="AY164" s="60" t="s">
        <v>197</v>
      </c>
      <c r="AZ164" s="60" t="s">
        <v>281</v>
      </c>
      <c r="BA164" s="33" t="s">
        <v>226</v>
      </c>
      <c r="BC164" s="57">
        <f>AW164+AX164</f>
      </c>
      <c r="BD164" s="57">
        <f>H164/(100-BE164)*100</f>
      </c>
      <c r="BE164" s="57" t="n">
        <v>0</v>
      </c>
      <c r="BF164" s="57">
        <f>164</f>
      </c>
      <c r="BH164" s="57">
        <f>G164*AO164</f>
      </c>
      <c r="BI164" s="57">
        <f>G164*AP164</f>
      </c>
      <c r="BJ164" s="57">
        <f>G164*H164</f>
      </c>
      <c r="BK164" s="57"/>
      <c r="BL164" s="57"/>
      <c r="BW164" s="57" t="n">
        <v>21</v>
      </c>
      <c r="BX164" s="16" t="s">
        <v>202</v>
      </c>
    </row>
    <row r="165">
      <c r="A165" s="61"/>
      <c r="D165" s="62" t="s">
        <v>283</v>
      </c>
      <c r="E165" s="63" t="s">
        <v>51</v>
      </c>
      <c r="G165" s="64" t="n">
        <v>26.13</v>
      </c>
      <c r="L165" s="65"/>
    </row>
    <row r="166">
      <c r="A166" s="10" t="s">
        <v>284</v>
      </c>
      <c r="B166" s="11" t="s">
        <v>220</v>
      </c>
      <c r="C166" s="11" t="s">
        <v>285</v>
      </c>
      <c r="D166" s="16" t="s">
        <v>286</v>
      </c>
      <c r="E166" s="11"/>
      <c r="F166" s="11" t="s">
        <v>207</v>
      </c>
      <c r="G166" s="57" t="n">
        <v>6.12</v>
      </c>
      <c r="H166" s="58" t="n">
        <v>0</v>
      </c>
      <c r="I166" s="57">
        <f>G166*AO166</f>
      </c>
      <c r="J166" s="57">
        <f>G166*AP166</f>
      </c>
      <c r="K166" s="57">
        <f>G166*H166</f>
      </c>
      <c r="L166" s="59" t="s">
        <v>60</v>
      </c>
      <c r="Z166" s="57">
        <f>IF(AQ166="5",BJ166,0)</f>
      </c>
      <c r="AB166" s="57">
        <f>IF(AQ166="1",BH166,0)</f>
      </c>
      <c r="AC166" s="57">
        <f>IF(AQ166="1",BI166,0)</f>
      </c>
      <c r="AD166" s="57">
        <f>IF(AQ166="7",BH166,0)</f>
      </c>
      <c r="AE166" s="57">
        <f>IF(AQ166="7",BI166,0)</f>
      </c>
      <c r="AF166" s="57">
        <f>IF(AQ166="2",BH166,0)</f>
      </c>
      <c r="AG166" s="57">
        <f>IF(AQ166="2",BI166,0)</f>
      </c>
      <c r="AH166" s="57">
        <f>IF(AQ166="0",BJ166,0)</f>
      </c>
      <c r="AI166" s="33" t="s">
        <v>220</v>
      </c>
      <c r="AJ166" s="57">
        <f>IF(AN166=0,K166,0)</f>
      </c>
      <c r="AK166" s="57">
        <f>IF(AN166=12,K166,0)</f>
      </c>
      <c r="AL166" s="57">
        <f>IF(AN166=21,K166,0)</f>
      </c>
      <c r="AN166" s="57" t="n">
        <v>21</v>
      </c>
      <c r="AO166" s="57">
        <f>H166*1</f>
      </c>
      <c r="AP166" s="57">
        <f>H166*(1-1)</f>
      </c>
      <c r="AQ166" s="60" t="s">
        <v>196</v>
      </c>
      <c r="AV166" s="57">
        <f>AW166+AX166</f>
      </c>
      <c r="AW166" s="57">
        <f>G166*AO166</f>
      </c>
      <c r="AX166" s="57">
        <f>G166*AP166</f>
      </c>
      <c r="AY166" s="60" t="s">
        <v>197</v>
      </c>
      <c r="AZ166" s="60" t="s">
        <v>281</v>
      </c>
      <c r="BA166" s="33" t="s">
        <v>226</v>
      </c>
      <c r="BC166" s="57">
        <f>AW166+AX166</f>
      </c>
      <c r="BD166" s="57">
        <f>H166/(100-BE166)*100</f>
      </c>
      <c r="BE166" s="57" t="n">
        <v>0</v>
      </c>
      <c r="BF166" s="57">
        <f>166</f>
      </c>
      <c r="BH166" s="57">
        <f>G166*AO166</f>
      </c>
      <c r="BI166" s="57">
        <f>G166*AP166</f>
      </c>
      <c r="BJ166" s="57">
        <f>G166*H166</f>
      </c>
      <c r="BK166" s="57"/>
      <c r="BL166" s="57"/>
      <c r="BW166" s="57" t="n">
        <v>21</v>
      </c>
      <c r="BX166" s="16" t="s">
        <v>286</v>
      </c>
    </row>
    <row r="167">
      <c r="A167" s="61"/>
      <c r="D167" s="62" t="s">
        <v>93</v>
      </c>
      <c r="E167" s="63" t="s">
        <v>51</v>
      </c>
      <c r="G167" s="64" t="n">
        <v>6</v>
      </c>
      <c r="L167" s="65"/>
    </row>
    <row r="168">
      <c r="A168" s="61"/>
      <c r="D168" s="62" t="s">
        <v>287</v>
      </c>
      <c r="E168" s="63" t="s">
        <v>51</v>
      </c>
      <c r="G168" s="64" t="n">
        <v>0.12</v>
      </c>
      <c r="L168" s="65"/>
    </row>
    <row r="169">
      <c r="A169" s="10" t="s">
        <v>139</v>
      </c>
      <c r="B169" s="11" t="s">
        <v>220</v>
      </c>
      <c r="C169" s="11" t="s">
        <v>205</v>
      </c>
      <c r="D169" s="16" t="s">
        <v>206</v>
      </c>
      <c r="E169" s="11"/>
      <c r="F169" s="11" t="s">
        <v>207</v>
      </c>
      <c r="G169" s="57" t="n">
        <v>9.18</v>
      </c>
      <c r="H169" s="58" t="n">
        <v>0</v>
      </c>
      <c r="I169" s="57">
        <f>G169*AO169</f>
      </c>
      <c r="J169" s="57">
        <f>G169*AP169</f>
      </c>
      <c r="K169" s="57">
        <f>G169*H169</f>
      </c>
      <c r="L169" s="59" t="s">
        <v>60</v>
      </c>
      <c r="Z169" s="57">
        <f>IF(AQ169="5",BJ169,0)</f>
      </c>
      <c r="AB169" s="57">
        <f>IF(AQ169="1",BH169,0)</f>
      </c>
      <c r="AC169" s="57">
        <f>IF(AQ169="1",BI169,0)</f>
      </c>
      <c r="AD169" s="57">
        <f>IF(AQ169="7",BH169,0)</f>
      </c>
      <c r="AE169" s="57">
        <f>IF(AQ169="7",BI169,0)</f>
      </c>
      <c r="AF169" s="57">
        <f>IF(AQ169="2",BH169,0)</f>
      </c>
      <c r="AG169" s="57">
        <f>IF(AQ169="2",BI169,0)</f>
      </c>
      <c r="AH169" s="57">
        <f>IF(AQ169="0",BJ169,0)</f>
      </c>
      <c r="AI169" s="33" t="s">
        <v>220</v>
      </c>
      <c r="AJ169" s="57">
        <f>IF(AN169=0,K169,0)</f>
      </c>
      <c r="AK169" s="57">
        <f>IF(AN169=12,K169,0)</f>
      </c>
      <c r="AL169" s="57">
        <f>IF(AN169=21,K169,0)</f>
      </c>
      <c r="AN169" s="57" t="n">
        <v>21</v>
      </c>
      <c r="AO169" s="57">
        <f>H169*1</f>
      </c>
      <c r="AP169" s="57">
        <f>H169*(1-1)</f>
      </c>
      <c r="AQ169" s="60" t="s">
        <v>196</v>
      </c>
      <c r="AV169" s="57">
        <f>AW169+AX169</f>
      </c>
      <c r="AW169" s="57">
        <f>G169*AO169</f>
      </c>
      <c r="AX169" s="57">
        <f>G169*AP169</f>
      </c>
      <c r="AY169" s="60" t="s">
        <v>197</v>
      </c>
      <c r="AZ169" s="60" t="s">
        <v>281</v>
      </c>
      <c r="BA169" s="33" t="s">
        <v>226</v>
      </c>
      <c r="BC169" s="57">
        <f>AW169+AX169</f>
      </c>
      <c r="BD169" s="57">
        <f>H169/(100-BE169)*100</f>
      </c>
      <c r="BE169" s="57" t="n">
        <v>0</v>
      </c>
      <c r="BF169" s="57">
        <f>169</f>
      </c>
      <c r="BH169" s="57">
        <f>G169*AO169</f>
      </c>
      <c r="BI169" s="57">
        <f>G169*AP169</f>
      </c>
      <c r="BJ169" s="57">
        <f>G169*H169</f>
      </c>
      <c r="BK169" s="57"/>
      <c r="BL169" s="57"/>
      <c r="BW169" s="57" t="n">
        <v>21</v>
      </c>
      <c r="BX169" s="16" t="s">
        <v>206</v>
      </c>
    </row>
    <row r="170">
      <c r="A170" s="61"/>
      <c r="D170" s="62" t="s">
        <v>113</v>
      </c>
      <c r="E170" s="63" t="s">
        <v>51</v>
      </c>
      <c r="G170" s="64" t="n">
        <v>9</v>
      </c>
      <c r="L170" s="65"/>
    </row>
    <row r="171">
      <c r="A171" s="61"/>
      <c r="D171" s="62" t="s">
        <v>288</v>
      </c>
      <c r="E171" s="63" t="s">
        <v>51</v>
      </c>
      <c r="G171" s="64" t="n">
        <v>0.18</v>
      </c>
      <c r="L171" s="65"/>
    </row>
    <row r="172">
      <c r="A172" s="10" t="s">
        <v>289</v>
      </c>
      <c r="B172" s="11" t="s">
        <v>220</v>
      </c>
      <c r="C172" s="11" t="s">
        <v>290</v>
      </c>
      <c r="D172" s="16" t="s">
        <v>291</v>
      </c>
      <c r="E172" s="11"/>
      <c r="F172" s="11" t="s">
        <v>207</v>
      </c>
      <c r="G172" s="57" t="n">
        <v>3.06</v>
      </c>
      <c r="H172" s="58" t="n">
        <v>0</v>
      </c>
      <c r="I172" s="57">
        <f>G172*AO172</f>
      </c>
      <c r="J172" s="57">
        <f>G172*AP172</f>
      </c>
      <c r="K172" s="57">
        <f>G172*H172</f>
      </c>
      <c r="L172" s="59" t="s">
        <v>60</v>
      </c>
      <c r="Z172" s="57">
        <f>IF(AQ172="5",BJ172,0)</f>
      </c>
      <c r="AB172" s="57">
        <f>IF(AQ172="1",BH172,0)</f>
      </c>
      <c r="AC172" s="57">
        <f>IF(AQ172="1",BI172,0)</f>
      </c>
      <c r="AD172" s="57">
        <f>IF(AQ172="7",BH172,0)</f>
      </c>
      <c r="AE172" s="57">
        <f>IF(AQ172="7",BI172,0)</f>
      </c>
      <c r="AF172" s="57">
        <f>IF(AQ172="2",BH172,0)</f>
      </c>
      <c r="AG172" s="57">
        <f>IF(AQ172="2",BI172,0)</f>
      </c>
      <c r="AH172" s="57">
        <f>IF(AQ172="0",BJ172,0)</f>
      </c>
      <c r="AI172" s="33" t="s">
        <v>220</v>
      </c>
      <c r="AJ172" s="57">
        <f>IF(AN172=0,K172,0)</f>
      </c>
      <c r="AK172" s="57">
        <f>IF(AN172=12,K172,0)</f>
      </c>
      <c r="AL172" s="57">
        <f>IF(AN172=21,K172,0)</f>
      </c>
      <c r="AN172" s="57" t="n">
        <v>21</v>
      </c>
      <c r="AO172" s="57">
        <f>H172*1</f>
      </c>
      <c r="AP172" s="57">
        <f>H172*(1-1)</f>
      </c>
      <c r="AQ172" s="60" t="s">
        <v>196</v>
      </c>
      <c r="AV172" s="57">
        <f>AW172+AX172</f>
      </c>
      <c r="AW172" s="57">
        <f>G172*AO172</f>
      </c>
      <c r="AX172" s="57">
        <f>G172*AP172</f>
      </c>
      <c r="AY172" s="60" t="s">
        <v>197</v>
      </c>
      <c r="AZ172" s="60" t="s">
        <v>281</v>
      </c>
      <c r="BA172" s="33" t="s">
        <v>226</v>
      </c>
      <c r="BC172" s="57">
        <f>AW172+AX172</f>
      </c>
      <c r="BD172" s="57">
        <f>H172/(100-BE172)*100</f>
      </c>
      <c r="BE172" s="57" t="n">
        <v>0</v>
      </c>
      <c r="BF172" s="57">
        <f>172</f>
      </c>
      <c r="BH172" s="57">
        <f>G172*AO172</f>
      </c>
      <c r="BI172" s="57">
        <f>G172*AP172</f>
      </c>
      <c r="BJ172" s="57">
        <f>G172*H172</f>
      </c>
      <c r="BK172" s="57"/>
      <c r="BL172" s="57"/>
      <c r="BW172" s="57" t="n">
        <v>21</v>
      </c>
      <c r="BX172" s="16" t="s">
        <v>291</v>
      </c>
    </row>
    <row r="173">
      <c r="A173" s="61"/>
      <c r="D173" s="62" t="s">
        <v>74</v>
      </c>
      <c r="E173" s="63" t="s">
        <v>51</v>
      </c>
      <c r="G173" s="64" t="n">
        <v>3</v>
      </c>
      <c r="L173" s="65"/>
    </row>
    <row r="174">
      <c r="A174" s="61"/>
      <c r="D174" s="62" t="s">
        <v>292</v>
      </c>
      <c r="E174" s="63" t="s">
        <v>51</v>
      </c>
      <c r="G174" s="64" t="n">
        <v>0.06</v>
      </c>
      <c r="L174" s="65"/>
    </row>
    <row r="175">
      <c r="A175" s="10" t="s">
        <v>293</v>
      </c>
      <c r="B175" s="11" t="s">
        <v>220</v>
      </c>
      <c r="C175" s="11" t="s">
        <v>211</v>
      </c>
      <c r="D175" s="16" t="s">
        <v>212</v>
      </c>
      <c r="E175" s="11"/>
      <c r="F175" s="11" t="s">
        <v>207</v>
      </c>
      <c r="G175" s="57" t="n">
        <v>12.24</v>
      </c>
      <c r="H175" s="58" t="n">
        <v>0</v>
      </c>
      <c r="I175" s="57">
        <f>G175*AO175</f>
      </c>
      <c r="J175" s="57">
        <f>G175*AP175</f>
      </c>
      <c r="K175" s="57">
        <f>G175*H175</f>
      </c>
      <c r="L175" s="59" t="s">
        <v>60</v>
      </c>
      <c r="Z175" s="57">
        <f>IF(AQ175="5",BJ175,0)</f>
      </c>
      <c r="AB175" s="57">
        <f>IF(AQ175="1",BH175,0)</f>
      </c>
      <c r="AC175" s="57">
        <f>IF(AQ175="1",BI175,0)</f>
      </c>
      <c r="AD175" s="57">
        <f>IF(AQ175="7",BH175,0)</f>
      </c>
      <c r="AE175" s="57">
        <f>IF(AQ175="7",BI175,0)</f>
      </c>
      <c r="AF175" s="57">
        <f>IF(AQ175="2",BH175,0)</f>
      </c>
      <c r="AG175" s="57">
        <f>IF(AQ175="2",BI175,0)</f>
      </c>
      <c r="AH175" s="57">
        <f>IF(AQ175="0",BJ175,0)</f>
      </c>
      <c r="AI175" s="33" t="s">
        <v>220</v>
      </c>
      <c r="AJ175" s="57">
        <f>IF(AN175=0,K175,0)</f>
      </c>
      <c r="AK175" s="57">
        <f>IF(AN175=12,K175,0)</f>
      </c>
      <c r="AL175" s="57">
        <f>IF(AN175=21,K175,0)</f>
      </c>
      <c r="AN175" s="57" t="n">
        <v>21</v>
      </c>
      <c r="AO175" s="57">
        <f>H175*1</f>
      </c>
      <c r="AP175" s="57">
        <f>H175*(1-1)</f>
      </c>
      <c r="AQ175" s="60" t="s">
        <v>196</v>
      </c>
      <c r="AV175" s="57">
        <f>AW175+AX175</f>
      </c>
      <c r="AW175" s="57">
        <f>G175*AO175</f>
      </c>
      <c r="AX175" s="57">
        <f>G175*AP175</f>
      </c>
      <c r="AY175" s="60" t="s">
        <v>197</v>
      </c>
      <c r="AZ175" s="60" t="s">
        <v>281</v>
      </c>
      <c r="BA175" s="33" t="s">
        <v>226</v>
      </c>
      <c r="BC175" s="57">
        <f>AW175+AX175</f>
      </c>
      <c r="BD175" s="57">
        <f>H175/(100-BE175)*100</f>
      </c>
      <c r="BE175" s="57" t="n">
        <v>0</v>
      </c>
      <c r="BF175" s="57">
        <f>175</f>
      </c>
      <c r="BH175" s="57">
        <f>G175*AO175</f>
      </c>
      <c r="BI175" s="57">
        <f>G175*AP175</f>
      </c>
      <c r="BJ175" s="57">
        <f>G175*H175</f>
      </c>
      <c r="BK175" s="57"/>
      <c r="BL175" s="57"/>
      <c r="BW175" s="57" t="n">
        <v>21</v>
      </c>
      <c r="BX175" s="16" t="s">
        <v>212</v>
      </c>
    </row>
    <row r="176">
      <c r="A176" s="61"/>
      <c r="D176" s="62" t="s">
        <v>72</v>
      </c>
      <c r="E176" s="63" t="s">
        <v>51</v>
      </c>
      <c r="G176" s="64" t="n">
        <v>12</v>
      </c>
      <c r="L176" s="65"/>
    </row>
    <row r="177">
      <c r="A177" s="61"/>
      <c r="D177" s="62" t="s">
        <v>294</v>
      </c>
      <c r="E177" s="63" t="s">
        <v>51</v>
      </c>
      <c r="G177" s="64" t="n">
        <v>0.24</v>
      </c>
      <c r="L177" s="65"/>
    </row>
    <row r="178">
      <c r="A178" s="10" t="s">
        <v>295</v>
      </c>
      <c r="B178" s="11" t="s">
        <v>220</v>
      </c>
      <c r="C178" s="11" t="s">
        <v>215</v>
      </c>
      <c r="D178" s="16" t="s">
        <v>216</v>
      </c>
      <c r="E178" s="11"/>
      <c r="F178" s="11" t="s">
        <v>207</v>
      </c>
      <c r="G178" s="57" t="n">
        <v>12970.13</v>
      </c>
      <c r="H178" s="58" t="n">
        <v>0</v>
      </c>
      <c r="I178" s="57">
        <f>G178*AO178</f>
      </c>
      <c r="J178" s="57">
        <f>G178*AP178</f>
      </c>
      <c r="K178" s="57">
        <f>G178*H178</f>
      </c>
      <c r="L178" s="59" t="s">
        <v>60</v>
      </c>
      <c r="Z178" s="57">
        <f>IF(AQ178="5",BJ178,0)</f>
      </c>
      <c r="AB178" s="57">
        <f>IF(AQ178="1",BH178,0)</f>
      </c>
      <c r="AC178" s="57">
        <f>IF(AQ178="1",BI178,0)</f>
      </c>
      <c r="AD178" s="57">
        <f>IF(AQ178="7",BH178,0)</f>
      </c>
      <c r="AE178" s="57">
        <f>IF(AQ178="7",BI178,0)</f>
      </c>
      <c r="AF178" s="57">
        <f>IF(AQ178="2",BH178,0)</f>
      </c>
      <c r="AG178" s="57">
        <f>IF(AQ178="2",BI178,0)</f>
      </c>
      <c r="AH178" s="57">
        <f>IF(AQ178="0",BJ178,0)</f>
      </c>
      <c r="AI178" s="33" t="s">
        <v>220</v>
      </c>
      <c r="AJ178" s="57">
        <f>IF(AN178=0,K178,0)</f>
      </c>
      <c r="AK178" s="57">
        <f>IF(AN178=12,K178,0)</f>
      </c>
      <c r="AL178" s="57">
        <f>IF(AN178=21,K178,0)</f>
      </c>
      <c r="AN178" s="57" t="n">
        <v>21</v>
      </c>
      <c r="AO178" s="57">
        <f>H178*1</f>
      </c>
      <c r="AP178" s="57">
        <f>H178*(1-1)</f>
      </c>
      <c r="AQ178" s="60" t="s">
        <v>196</v>
      </c>
      <c r="AV178" s="57">
        <f>AW178+AX178</f>
      </c>
      <c r="AW178" s="57">
        <f>G178*AO178</f>
      </c>
      <c r="AX178" s="57">
        <f>G178*AP178</f>
      </c>
      <c r="AY178" s="60" t="s">
        <v>197</v>
      </c>
      <c r="AZ178" s="60" t="s">
        <v>281</v>
      </c>
      <c r="BA178" s="33" t="s">
        <v>226</v>
      </c>
      <c r="BC178" s="57">
        <f>AW178+AX178</f>
      </c>
      <c r="BD178" s="57">
        <f>H178/(100-BE178)*100</f>
      </c>
      <c r="BE178" s="57" t="n">
        <v>0</v>
      </c>
      <c r="BF178" s="57">
        <f>178</f>
      </c>
      <c r="BH178" s="57">
        <f>G178*AO178</f>
      </c>
      <c r="BI178" s="57">
        <f>G178*AP178</f>
      </c>
      <c r="BJ178" s="57">
        <f>G178*H178</f>
      </c>
      <c r="BK178" s="57"/>
      <c r="BL178" s="57"/>
      <c r="BW178" s="57" t="n">
        <v>21</v>
      </c>
      <c r="BX178" s="16" t="s">
        <v>216</v>
      </c>
    </row>
    <row r="179">
      <c r="A179" s="61"/>
      <c r="D179" s="62" t="s">
        <v>296</v>
      </c>
      <c r="E179" s="63" t="s">
        <v>51</v>
      </c>
      <c r="G179" s="64" t="n">
        <v>12352.5</v>
      </c>
      <c r="L179" s="65"/>
    </row>
    <row r="180">
      <c r="A180" s="61"/>
      <c r="D180" s="62" t="s">
        <v>297</v>
      </c>
      <c r="E180" s="63" t="s">
        <v>51</v>
      </c>
      <c r="G180" s="64" t="n">
        <v>617.63</v>
      </c>
      <c r="L180" s="65"/>
    </row>
    <row r="181" customHeight="true" ht="54">
      <c r="A181" s="61"/>
      <c r="C181" s="71" t="s">
        <v>87</v>
      </c>
      <c r="D181" s="72" t="s">
        <v>298</v>
      </c>
      <c r="E181" s="73"/>
      <c r="F181" s="73"/>
      <c r="G181" s="73"/>
      <c r="H181" s="74"/>
      <c r="I181" s="73"/>
      <c r="J181" s="73"/>
      <c r="K181" s="73"/>
      <c r="L181" s="75"/>
    </row>
    <row r="182">
      <c r="A182" s="51" t="s">
        <v>51</v>
      </c>
      <c r="B182" s="52" t="s">
        <v>299</v>
      </c>
      <c r="C182" s="52" t="s">
        <v>51</v>
      </c>
      <c r="D182" s="53" t="s">
        <v>300</v>
      </c>
      <c r="E182" s="52"/>
      <c r="F182" s="54" t="s">
        <v>4</v>
      </c>
      <c r="G182" s="54" t="s">
        <v>4</v>
      </c>
      <c r="H182" s="55" t="s">
        <v>4</v>
      </c>
      <c r="I182" s="2">
        <f>I183+I189+I192+I198+I202+I207+I213+I216+I222+I224+I230+I233+I240</f>
      </c>
      <c r="J182" s="2">
        <f>J183+J189+J192+J198+J202+J207+J213+J216+J222+J224+J230+J233+J240</f>
      </c>
      <c r="K182" s="2">
        <f>K183+K189+K192+K198+K202+K207+K213+K216+K222+K224+K230+K233+K240</f>
      </c>
      <c r="L182" s="56" t="s">
        <v>51</v>
      </c>
    </row>
    <row r="183">
      <c r="A183" s="51" t="s">
        <v>51</v>
      </c>
      <c r="B183" s="52" t="s">
        <v>299</v>
      </c>
      <c r="C183" s="52" t="s">
        <v>54</v>
      </c>
      <c r="D183" s="53" t="s">
        <v>55</v>
      </c>
      <c r="E183" s="52"/>
      <c r="F183" s="54" t="s">
        <v>4</v>
      </c>
      <c r="G183" s="54" t="s">
        <v>4</v>
      </c>
      <c r="H183" s="55" t="s">
        <v>4</v>
      </c>
      <c r="I183" s="2">
        <f>SUM(I184:I186)</f>
      </c>
      <c r="J183" s="2">
        <f>SUM(J184:J186)</f>
      </c>
      <c r="K183" s="2">
        <f>SUM(K184:K186)</f>
      </c>
      <c r="L183" s="56" t="s">
        <v>51</v>
      </c>
      <c r="AI183" s="33" t="s">
        <v>299</v>
      </c>
      <c r="AS183" s="2">
        <f>SUM(AJ184:AJ186)</f>
      </c>
      <c r="AT183" s="2">
        <f>SUM(AK184:AK186)</f>
      </c>
      <c r="AU183" s="2">
        <f>SUM(AL184:AL186)</f>
      </c>
    </row>
    <row r="184">
      <c r="A184" s="10" t="s">
        <v>301</v>
      </c>
      <c r="B184" s="11" t="s">
        <v>299</v>
      </c>
      <c r="C184" s="11" t="s">
        <v>223</v>
      </c>
      <c r="D184" s="16" t="s">
        <v>224</v>
      </c>
      <c r="E184" s="11"/>
      <c r="F184" s="11" t="s">
        <v>59</v>
      </c>
      <c r="G184" s="57" t="n">
        <v>413.6</v>
      </c>
      <c r="H184" s="58" t="n">
        <v>0</v>
      </c>
      <c r="I184" s="57">
        <f>G184*AO184</f>
      </c>
      <c r="J184" s="57">
        <f>G184*AP184</f>
      </c>
      <c r="K184" s="57">
        <f>G184*H184</f>
      </c>
      <c r="L184" s="59" t="s">
        <v>60</v>
      </c>
      <c r="Z184" s="57">
        <f>IF(AQ184="5",BJ184,0)</f>
      </c>
      <c r="AB184" s="57">
        <f>IF(AQ184="1",BH184,0)</f>
      </c>
      <c r="AC184" s="57">
        <f>IF(AQ184="1",BI184,0)</f>
      </c>
      <c r="AD184" s="57">
        <f>IF(AQ184="7",BH184,0)</f>
      </c>
      <c r="AE184" s="57">
        <f>IF(AQ184="7",BI184,0)</f>
      </c>
      <c r="AF184" s="57">
        <f>IF(AQ184="2",BH184,0)</f>
      </c>
      <c r="AG184" s="57">
        <f>IF(AQ184="2",BI184,0)</f>
      </c>
      <c r="AH184" s="57">
        <f>IF(AQ184="0",BJ184,0)</f>
      </c>
      <c r="AI184" s="33" t="s">
        <v>299</v>
      </c>
      <c r="AJ184" s="57">
        <f>IF(AN184=0,K184,0)</f>
      </c>
      <c r="AK184" s="57">
        <f>IF(AN184=12,K184,0)</f>
      </c>
      <c r="AL184" s="57">
        <f>IF(AN184=21,K184,0)</f>
      </c>
      <c r="AN184" s="57" t="n">
        <v>21</v>
      </c>
      <c r="AO184" s="57">
        <f>H184*0</f>
      </c>
      <c r="AP184" s="57">
        <f>H184*(1-0)</f>
      </c>
      <c r="AQ184" s="60" t="s">
        <v>56</v>
      </c>
      <c r="AV184" s="57">
        <f>AW184+AX184</f>
      </c>
      <c r="AW184" s="57">
        <f>G184*AO184</f>
      </c>
      <c r="AX184" s="57">
        <f>G184*AP184</f>
      </c>
      <c r="AY184" s="60" t="s">
        <v>61</v>
      </c>
      <c r="AZ184" s="60" t="s">
        <v>302</v>
      </c>
      <c r="BA184" s="33" t="s">
        <v>303</v>
      </c>
      <c r="BC184" s="57">
        <f>AW184+AX184</f>
      </c>
      <c r="BD184" s="57">
        <f>H184/(100-BE184)*100</f>
      </c>
      <c r="BE184" s="57" t="n">
        <v>0</v>
      </c>
      <c r="BF184" s="57">
        <f>184</f>
      </c>
      <c r="BH184" s="57">
        <f>G184*AO184</f>
      </c>
      <c r="BI184" s="57">
        <f>G184*AP184</f>
      </c>
      <c r="BJ184" s="57">
        <f>G184*H184</f>
      </c>
      <c r="BK184" s="57"/>
      <c r="BL184" s="57" t="n">
        <v>11</v>
      </c>
      <c r="BW184" s="57" t="n">
        <v>21</v>
      </c>
      <c r="BX184" s="16" t="s">
        <v>224</v>
      </c>
    </row>
    <row r="185" customHeight="true" ht="13.5">
      <c r="A185" s="61"/>
      <c r="C185" s="66" t="s">
        <v>69</v>
      </c>
      <c r="D185" s="67" t="s">
        <v>227</v>
      </c>
      <c r="E185" s="68"/>
      <c r="F185" s="68"/>
      <c r="G185" s="68"/>
      <c r="H185" s="69"/>
      <c r="I185" s="68"/>
      <c r="J185" s="68"/>
      <c r="K185" s="68"/>
      <c r="L185" s="70"/>
    </row>
    <row r="186">
      <c r="A186" s="10" t="s">
        <v>304</v>
      </c>
      <c r="B186" s="11" t="s">
        <v>299</v>
      </c>
      <c r="C186" s="11" t="s">
        <v>66</v>
      </c>
      <c r="D186" s="16" t="s">
        <v>67</v>
      </c>
      <c r="E186" s="11"/>
      <c r="F186" s="11" t="s">
        <v>68</v>
      </c>
      <c r="G186" s="57" t="n">
        <v>51</v>
      </c>
      <c r="H186" s="58" t="n">
        <v>0</v>
      </c>
      <c r="I186" s="57">
        <f>G186*AO186</f>
      </c>
      <c r="J186" s="57">
        <f>G186*AP186</f>
      </c>
      <c r="K186" s="57">
        <f>G186*H186</f>
      </c>
      <c r="L186" s="59" t="s">
        <v>60</v>
      </c>
      <c r="Z186" s="57">
        <f>IF(AQ186="5",BJ186,0)</f>
      </c>
      <c r="AB186" s="57">
        <f>IF(AQ186="1",BH186,0)</f>
      </c>
      <c r="AC186" s="57">
        <f>IF(AQ186="1",BI186,0)</f>
      </c>
      <c r="AD186" s="57">
        <f>IF(AQ186="7",BH186,0)</f>
      </c>
      <c r="AE186" s="57">
        <f>IF(AQ186="7",BI186,0)</f>
      </c>
      <c r="AF186" s="57">
        <f>IF(AQ186="2",BH186,0)</f>
      </c>
      <c r="AG186" s="57">
        <f>IF(AQ186="2",BI186,0)</f>
      </c>
      <c r="AH186" s="57">
        <f>IF(AQ186="0",BJ186,0)</f>
      </c>
      <c r="AI186" s="33" t="s">
        <v>299</v>
      </c>
      <c r="AJ186" s="57">
        <f>IF(AN186=0,K186,0)</f>
      </c>
      <c r="AK186" s="57">
        <f>IF(AN186=12,K186,0)</f>
      </c>
      <c r="AL186" s="57">
        <f>IF(AN186=21,K186,0)</f>
      </c>
      <c r="AN186" s="57" t="n">
        <v>21</v>
      </c>
      <c r="AO186" s="57">
        <f>H186*0</f>
      </c>
      <c r="AP186" s="57">
        <f>H186*(1-0)</f>
      </c>
      <c r="AQ186" s="60" t="s">
        <v>56</v>
      </c>
      <c r="AV186" s="57">
        <f>AW186+AX186</f>
      </c>
      <c r="AW186" s="57">
        <f>G186*AO186</f>
      </c>
      <c r="AX186" s="57">
        <f>G186*AP186</f>
      </c>
      <c r="AY186" s="60" t="s">
        <v>61</v>
      </c>
      <c r="AZ186" s="60" t="s">
        <v>302</v>
      </c>
      <c r="BA186" s="33" t="s">
        <v>303</v>
      </c>
      <c r="BC186" s="57">
        <f>AW186+AX186</f>
      </c>
      <c r="BD186" s="57">
        <f>H186/(100-BE186)*100</f>
      </c>
      <c r="BE186" s="57" t="n">
        <v>0</v>
      </c>
      <c r="BF186" s="57">
        <f>186</f>
      </c>
      <c r="BH186" s="57">
        <f>G186*AO186</f>
      </c>
      <c r="BI186" s="57">
        <f>G186*AP186</f>
      </c>
      <c r="BJ186" s="57">
        <f>G186*H186</f>
      </c>
      <c r="BK186" s="57"/>
      <c r="BL186" s="57" t="n">
        <v>11</v>
      </c>
      <c r="BW186" s="57" t="n">
        <v>21</v>
      </c>
      <c r="BX186" s="16" t="s">
        <v>67</v>
      </c>
    </row>
    <row r="187" customHeight="true" ht="13.5">
      <c r="A187" s="61"/>
      <c r="C187" s="66" t="s">
        <v>69</v>
      </c>
      <c r="D187" s="67" t="s">
        <v>70</v>
      </c>
      <c r="E187" s="68"/>
      <c r="F187" s="68"/>
      <c r="G187" s="68"/>
      <c r="H187" s="69"/>
      <c r="I187" s="68"/>
      <c r="J187" s="68"/>
      <c r="K187" s="68"/>
      <c r="L187" s="70"/>
    </row>
    <row r="188">
      <c r="A188" s="61"/>
      <c r="D188" s="62" t="s">
        <v>305</v>
      </c>
      <c r="E188" s="63" t="s">
        <v>51</v>
      </c>
      <c r="G188" s="64" t="n">
        <v>51</v>
      </c>
      <c r="L188" s="65"/>
    </row>
    <row r="189">
      <c r="A189" s="51" t="s">
        <v>51</v>
      </c>
      <c r="B189" s="52" t="s">
        <v>299</v>
      </c>
      <c r="C189" s="52" t="s">
        <v>72</v>
      </c>
      <c r="D189" s="53" t="s">
        <v>73</v>
      </c>
      <c r="E189" s="52"/>
      <c r="F189" s="54" t="s">
        <v>4</v>
      </c>
      <c r="G189" s="54" t="s">
        <v>4</v>
      </c>
      <c r="H189" s="55" t="s">
        <v>4</v>
      </c>
      <c r="I189" s="2">
        <f>SUM(I190:I190)</f>
      </c>
      <c r="J189" s="2">
        <f>SUM(J190:J190)</f>
      </c>
      <c r="K189" s="2">
        <f>SUM(K190:K190)</f>
      </c>
      <c r="L189" s="56" t="s">
        <v>51</v>
      </c>
      <c r="AI189" s="33" t="s">
        <v>299</v>
      </c>
      <c r="AS189" s="2">
        <f>SUM(AJ190:AJ190)</f>
      </c>
      <c r="AT189" s="2">
        <f>SUM(AK190:AK190)</f>
      </c>
      <c r="AU189" s="2">
        <f>SUM(AL190:AL190)</f>
      </c>
    </row>
    <row r="190">
      <c r="A190" s="10" t="s">
        <v>306</v>
      </c>
      <c r="B190" s="11" t="s">
        <v>299</v>
      </c>
      <c r="C190" s="11" t="s">
        <v>75</v>
      </c>
      <c r="D190" s="16" t="s">
        <v>76</v>
      </c>
      <c r="E190" s="11"/>
      <c r="F190" s="11" t="s">
        <v>77</v>
      </c>
      <c r="G190" s="57" t="n">
        <v>6</v>
      </c>
      <c r="H190" s="58" t="n">
        <v>0</v>
      </c>
      <c r="I190" s="57">
        <f>G190*AO190</f>
      </c>
      <c r="J190" s="57">
        <f>G190*AP190</f>
      </c>
      <c r="K190" s="57">
        <f>G190*H190</f>
      </c>
      <c r="L190" s="59" t="s">
        <v>60</v>
      </c>
      <c r="Z190" s="57">
        <f>IF(AQ190="5",BJ190,0)</f>
      </c>
      <c r="AB190" s="57">
        <f>IF(AQ190="1",BH190,0)</f>
      </c>
      <c r="AC190" s="57">
        <f>IF(AQ190="1",BI190,0)</f>
      </c>
      <c r="AD190" s="57">
        <f>IF(AQ190="7",BH190,0)</f>
      </c>
      <c r="AE190" s="57">
        <f>IF(AQ190="7",BI190,0)</f>
      </c>
      <c r="AF190" s="57">
        <f>IF(AQ190="2",BH190,0)</f>
      </c>
      <c r="AG190" s="57">
        <f>IF(AQ190="2",BI190,0)</f>
      </c>
      <c r="AH190" s="57">
        <f>IF(AQ190="0",BJ190,0)</f>
      </c>
      <c r="AI190" s="33" t="s">
        <v>299</v>
      </c>
      <c r="AJ190" s="57">
        <f>IF(AN190=0,K190,0)</f>
      </c>
      <c r="AK190" s="57">
        <f>IF(AN190=12,K190,0)</f>
      </c>
      <c r="AL190" s="57">
        <f>IF(AN190=21,K190,0)</f>
      </c>
      <c r="AN190" s="57" t="n">
        <v>21</v>
      </c>
      <c r="AO190" s="57">
        <f>H190*0</f>
      </c>
      <c r="AP190" s="57">
        <f>H190*(1-0)</f>
      </c>
      <c r="AQ190" s="60" t="s">
        <v>56</v>
      </c>
      <c r="AV190" s="57">
        <f>AW190+AX190</f>
      </c>
      <c r="AW190" s="57">
        <f>G190*AO190</f>
      </c>
      <c r="AX190" s="57">
        <f>G190*AP190</f>
      </c>
      <c r="AY190" s="60" t="s">
        <v>78</v>
      </c>
      <c r="AZ190" s="60" t="s">
        <v>302</v>
      </c>
      <c r="BA190" s="33" t="s">
        <v>303</v>
      </c>
      <c r="BC190" s="57">
        <f>AW190+AX190</f>
      </c>
      <c r="BD190" s="57">
        <f>H190/(100-BE190)*100</f>
      </c>
      <c r="BE190" s="57" t="n">
        <v>0</v>
      </c>
      <c r="BF190" s="57">
        <f>190</f>
      </c>
      <c r="BH190" s="57">
        <f>G190*AO190</f>
      </c>
      <c r="BI190" s="57">
        <f>G190*AP190</f>
      </c>
      <c r="BJ190" s="57">
        <f>G190*H190</f>
      </c>
      <c r="BK190" s="57"/>
      <c r="BL190" s="57" t="n">
        <v>12</v>
      </c>
      <c r="BW190" s="57" t="n">
        <v>21</v>
      </c>
      <c r="BX190" s="16" t="s">
        <v>76</v>
      </c>
    </row>
    <row r="191">
      <c r="A191" s="61"/>
      <c r="D191" s="62" t="s">
        <v>307</v>
      </c>
      <c r="E191" s="63" t="s">
        <v>51</v>
      </c>
      <c r="G191" s="64" t="n">
        <v>6</v>
      </c>
      <c r="L191" s="65"/>
    </row>
    <row r="192">
      <c r="A192" s="51" t="s">
        <v>51</v>
      </c>
      <c r="B192" s="52" t="s">
        <v>299</v>
      </c>
      <c r="C192" s="52" t="s">
        <v>80</v>
      </c>
      <c r="D192" s="53" t="s">
        <v>81</v>
      </c>
      <c r="E192" s="52"/>
      <c r="F192" s="54" t="s">
        <v>4</v>
      </c>
      <c r="G192" s="54" t="s">
        <v>4</v>
      </c>
      <c r="H192" s="55" t="s">
        <v>4</v>
      </c>
      <c r="I192" s="2">
        <f>SUM(I193:I197)</f>
      </c>
      <c r="J192" s="2">
        <f>SUM(J193:J197)</f>
      </c>
      <c r="K192" s="2">
        <f>SUM(K193:K197)</f>
      </c>
      <c r="L192" s="56" t="s">
        <v>51</v>
      </c>
      <c r="AI192" s="33" t="s">
        <v>299</v>
      </c>
      <c r="AS192" s="2">
        <f>SUM(AJ193:AJ197)</f>
      </c>
      <c r="AT192" s="2">
        <f>SUM(AK193:AK197)</f>
      </c>
      <c r="AU192" s="2">
        <f>SUM(AL193:AL197)</f>
      </c>
    </row>
    <row r="193">
      <c r="A193" s="10" t="s">
        <v>308</v>
      </c>
      <c r="B193" s="11" t="s">
        <v>299</v>
      </c>
      <c r="C193" s="11" t="s">
        <v>83</v>
      </c>
      <c r="D193" s="16" t="s">
        <v>84</v>
      </c>
      <c r="E193" s="11"/>
      <c r="F193" s="11" t="s">
        <v>77</v>
      </c>
      <c r="G193" s="57" t="n">
        <v>2</v>
      </c>
      <c r="H193" s="58" t="n">
        <v>0</v>
      </c>
      <c r="I193" s="57">
        <f>G193*AO193</f>
      </c>
      <c r="J193" s="57">
        <f>G193*AP193</f>
      </c>
      <c r="K193" s="57">
        <f>G193*H193</f>
      </c>
      <c r="L193" s="59" t="s">
        <v>60</v>
      </c>
      <c r="Z193" s="57">
        <f>IF(AQ193="5",BJ193,0)</f>
      </c>
      <c r="AB193" s="57">
        <f>IF(AQ193="1",BH193,0)</f>
      </c>
      <c r="AC193" s="57">
        <f>IF(AQ193="1",BI193,0)</f>
      </c>
      <c r="AD193" s="57">
        <f>IF(AQ193="7",BH193,0)</f>
      </c>
      <c r="AE193" s="57">
        <f>IF(AQ193="7",BI193,0)</f>
      </c>
      <c r="AF193" s="57">
        <f>IF(AQ193="2",BH193,0)</f>
      </c>
      <c r="AG193" s="57">
        <f>IF(AQ193="2",BI193,0)</f>
      </c>
      <c r="AH193" s="57">
        <f>IF(AQ193="0",BJ193,0)</f>
      </c>
      <c r="AI193" s="33" t="s">
        <v>299</v>
      </c>
      <c r="AJ193" s="57">
        <f>IF(AN193=0,K193,0)</f>
      </c>
      <c r="AK193" s="57">
        <f>IF(AN193=12,K193,0)</f>
      </c>
      <c r="AL193" s="57">
        <f>IF(AN193=21,K193,0)</f>
      </c>
      <c r="AN193" s="57" t="n">
        <v>21</v>
      </c>
      <c r="AO193" s="57">
        <f>H193*0</f>
      </c>
      <c r="AP193" s="57">
        <f>H193*(1-0)</f>
      </c>
      <c r="AQ193" s="60" t="s">
        <v>56</v>
      </c>
      <c r="AV193" s="57">
        <f>AW193+AX193</f>
      </c>
      <c r="AW193" s="57">
        <f>G193*AO193</f>
      </c>
      <c r="AX193" s="57">
        <f>G193*AP193</f>
      </c>
      <c r="AY193" s="60" t="s">
        <v>85</v>
      </c>
      <c r="AZ193" s="60" t="s">
        <v>302</v>
      </c>
      <c r="BA193" s="33" t="s">
        <v>303</v>
      </c>
      <c r="BC193" s="57">
        <f>AW193+AX193</f>
      </c>
      <c r="BD193" s="57">
        <f>H193/(100-BE193)*100</f>
      </c>
      <c r="BE193" s="57" t="n">
        <v>0</v>
      </c>
      <c r="BF193" s="57">
        <f>193</f>
      </c>
      <c r="BH193" s="57">
        <f>G193*AO193</f>
      </c>
      <c r="BI193" s="57">
        <f>G193*AP193</f>
      </c>
      <c r="BJ193" s="57">
        <f>G193*H193</f>
      </c>
      <c r="BK193" s="57"/>
      <c r="BL193" s="57" t="n">
        <v>16</v>
      </c>
      <c r="BW193" s="57" t="n">
        <v>21</v>
      </c>
      <c r="BX193" s="16" t="s">
        <v>84</v>
      </c>
    </row>
    <row r="194" customHeight="true" ht="13.5">
      <c r="A194" s="61"/>
      <c r="C194" s="71" t="s">
        <v>87</v>
      </c>
      <c r="D194" s="72" t="s">
        <v>88</v>
      </c>
      <c r="E194" s="73"/>
      <c r="F194" s="73"/>
      <c r="G194" s="73"/>
      <c r="H194" s="74"/>
      <c r="I194" s="73"/>
      <c r="J194" s="73"/>
      <c r="K194" s="73"/>
      <c r="L194" s="75"/>
    </row>
    <row r="195">
      <c r="A195" s="10" t="s">
        <v>309</v>
      </c>
      <c r="B195" s="11" t="s">
        <v>299</v>
      </c>
      <c r="C195" s="11" t="s">
        <v>90</v>
      </c>
      <c r="D195" s="16" t="s">
        <v>91</v>
      </c>
      <c r="E195" s="11"/>
      <c r="F195" s="11" t="s">
        <v>77</v>
      </c>
      <c r="G195" s="57" t="n">
        <v>10</v>
      </c>
      <c r="H195" s="58" t="n">
        <v>0</v>
      </c>
      <c r="I195" s="57">
        <f>G195*AO195</f>
      </c>
      <c r="J195" s="57">
        <f>G195*AP195</f>
      </c>
      <c r="K195" s="57">
        <f>G195*H195</f>
      </c>
      <c r="L195" s="59" t="s">
        <v>60</v>
      </c>
      <c r="Z195" s="57">
        <f>IF(AQ195="5",BJ195,0)</f>
      </c>
      <c r="AB195" s="57">
        <f>IF(AQ195="1",BH195,0)</f>
      </c>
      <c r="AC195" s="57">
        <f>IF(AQ195="1",BI195,0)</f>
      </c>
      <c r="AD195" s="57">
        <f>IF(AQ195="7",BH195,0)</f>
      </c>
      <c r="AE195" s="57">
        <f>IF(AQ195="7",BI195,0)</f>
      </c>
      <c r="AF195" s="57">
        <f>IF(AQ195="2",BH195,0)</f>
      </c>
      <c r="AG195" s="57">
        <f>IF(AQ195="2",BI195,0)</f>
      </c>
      <c r="AH195" s="57">
        <f>IF(AQ195="0",BJ195,0)</f>
      </c>
      <c r="AI195" s="33" t="s">
        <v>299</v>
      </c>
      <c r="AJ195" s="57">
        <f>IF(AN195=0,K195,0)</f>
      </c>
      <c r="AK195" s="57">
        <f>IF(AN195=12,K195,0)</f>
      </c>
      <c r="AL195" s="57">
        <f>IF(AN195=21,K195,0)</f>
      </c>
      <c r="AN195" s="57" t="n">
        <v>21</v>
      </c>
      <c r="AO195" s="57">
        <f>H195*0</f>
      </c>
      <c r="AP195" s="57">
        <f>H195*(1-0)</f>
      </c>
      <c r="AQ195" s="60" t="s">
        <v>56</v>
      </c>
      <c r="AV195" s="57">
        <f>AW195+AX195</f>
      </c>
      <c r="AW195" s="57">
        <f>G195*AO195</f>
      </c>
      <c r="AX195" s="57">
        <f>G195*AP195</f>
      </c>
      <c r="AY195" s="60" t="s">
        <v>85</v>
      </c>
      <c r="AZ195" s="60" t="s">
        <v>302</v>
      </c>
      <c r="BA195" s="33" t="s">
        <v>303</v>
      </c>
      <c r="BC195" s="57">
        <f>AW195+AX195</f>
      </c>
      <c r="BD195" s="57">
        <f>H195/(100-BE195)*100</f>
      </c>
      <c r="BE195" s="57" t="n">
        <v>0</v>
      </c>
      <c r="BF195" s="57">
        <f>195</f>
      </c>
      <c r="BH195" s="57">
        <f>G195*AO195</f>
      </c>
      <c r="BI195" s="57">
        <f>G195*AP195</f>
      </c>
      <c r="BJ195" s="57">
        <f>G195*H195</f>
      </c>
      <c r="BK195" s="57"/>
      <c r="BL195" s="57" t="n">
        <v>16</v>
      </c>
      <c r="BW195" s="57" t="n">
        <v>21</v>
      </c>
      <c r="BX195" s="16" t="s">
        <v>91</v>
      </c>
    </row>
    <row r="196">
      <c r="A196" s="61"/>
      <c r="D196" s="62" t="s">
        <v>310</v>
      </c>
      <c r="E196" s="63" t="s">
        <v>51</v>
      </c>
      <c r="G196" s="64" t="n">
        <v>10</v>
      </c>
      <c r="L196" s="65"/>
    </row>
    <row r="197">
      <c r="A197" s="10" t="s">
        <v>311</v>
      </c>
      <c r="B197" s="11" t="s">
        <v>299</v>
      </c>
      <c r="C197" s="11" t="s">
        <v>94</v>
      </c>
      <c r="D197" s="16" t="s">
        <v>95</v>
      </c>
      <c r="E197" s="11"/>
      <c r="F197" s="11" t="s">
        <v>77</v>
      </c>
      <c r="G197" s="57" t="n">
        <v>2</v>
      </c>
      <c r="H197" s="58" t="n">
        <v>0</v>
      </c>
      <c r="I197" s="57">
        <f>G197*AO197</f>
      </c>
      <c r="J197" s="57">
        <f>G197*AP197</f>
      </c>
      <c r="K197" s="57">
        <f>G197*H197</f>
      </c>
      <c r="L197" s="59" t="s">
        <v>60</v>
      </c>
      <c r="Z197" s="57">
        <f>IF(AQ197="5",BJ197,0)</f>
      </c>
      <c r="AB197" s="57">
        <f>IF(AQ197="1",BH197,0)</f>
      </c>
      <c r="AC197" s="57">
        <f>IF(AQ197="1",BI197,0)</f>
      </c>
      <c r="AD197" s="57">
        <f>IF(AQ197="7",BH197,0)</f>
      </c>
      <c r="AE197" s="57">
        <f>IF(AQ197="7",BI197,0)</f>
      </c>
      <c r="AF197" s="57">
        <f>IF(AQ197="2",BH197,0)</f>
      </c>
      <c r="AG197" s="57">
        <f>IF(AQ197="2",BI197,0)</f>
      </c>
      <c r="AH197" s="57">
        <f>IF(AQ197="0",BJ197,0)</f>
      </c>
      <c r="AI197" s="33" t="s">
        <v>299</v>
      </c>
      <c r="AJ197" s="57">
        <f>IF(AN197=0,K197,0)</f>
      </c>
      <c r="AK197" s="57">
        <f>IF(AN197=12,K197,0)</f>
      </c>
      <c r="AL197" s="57">
        <f>IF(AN197=21,K197,0)</f>
      </c>
      <c r="AN197" s="57" t="n">
        <v>21</v>
      </c>
      <c r="AO197" s="57">
        <f>H197*0</f>
      </c>
      <c r="AP197" s="57">
        <f>H197*(1-0)</f>
      </c>
      <c r="AQ197" s="60" t="s">
        <v>56</v>
      </c>
      <c r="AV197" s="57">
        <f>AW197+AX197</f>
      </c>
      <c r="AW197" s="57">
        <f>G197*AO197</f>
      </c>
      <c r="AX197" s="57">
        <f>G197*AP197</f>
      </c>
      <c r="AY197" s="60" t="s">
        <v>85</v>
      </c>
      <c r="AZ197" s="60" t="s">
        <v>302</v>
      </c>
      <c r="BA197" s="33" t="s">
        <v>303</v>
      </c>
      <c r="BC197" s="57">
        <f>AW197+AX197</f>
      </c>
      <c r="BD197" s="57">
        <f>H197/(100-BE197)*100</f>
      </c>
      <c r="BE197" s="57" t="n">
        <v>0</v>
      </c>
      <c r="BF197" s="57">
        <f>197</f>
      </c>
      <c r="BH197" s="57">
        <f>G197*AO197</f>
      </c>
      <c r="BI197" s="57">
        <f>G197*AP197</f>
      </c>
      <c r="BJ197" s="57">
        <f>G197*H197</f>
      </c>
      <c r="BK197" s="57"/>
      <c r="BL197" s="57" t="n">
        <v>16</v>
      </c>
      <c r="BW197" s="57" t="n">
        <v>21</v>
      </c>
      <c r="BX197" s="16" t="s">
        <v>95</v>
      </c>
    </row>
    <row r="198">
      <c r="A198" s="51" t="s">
        <v>51</v>
      </c>
      <c r="B198" s="52" t="s">
        <v>299</v>
      </c>
      <c r="C198" s="52" t="s">
        <v>97</v>
      </c>
      <c r="D198" s="53" t="s">
        <v>98</v>
      </c>
      <c r="E198" s="52"/>
      <c r="F198" s="54" t="s">
        <v>4</v>
      </c>
      <c r="G198" s="54" t="s">
        <v>4</v>
      </c>
      <c r="H198" s="55" t="s">
        <v>4</v>
      </c>
      <c r="I198" s="2">
        <f>SUM(I199:I199)</f>
      </c>
      <c r="J198" s="2">
        <f>SUM(J199:J199)</f>
      </c>
      <c r="K198" s="2">
        <f>SUM(K199:K199)</f>
      </c>
      <c r="L198" s="56" t="s">
        <v>51</v>
      </c>
      <c r="AI198" s="33" t="s">
        <v>299</v>
      </c>
      <c r="AS198" s="2">
        <f>SUM(AJ199:AJ199)</f>
      </c>
      <c r="AT198" s="2">
        <f>SUM(AK199:AK199)</f>
      </c>
      <c r="AU198" s="2">
        <f>SUM(AL199:AL199)</f>
      </c>
    </row>
    <row r="199">
      <c r="A199" s="10" t="s">
        <v>312</v>
      </c>
      <c r="B199" s="11" t="s">
        <v>299</v>
      </c>
      <c r="C199" s="11" t="s">
        <v>107</v>
      </c>
      <c r="D199" s="16" t="s">
        <v>108</v>
      </c>
      <c r="E199" s="11"/>
      <c r="F199" s="11" t="s">
        <v>77</v>
      </c>
      <c r="G199" s="57" t="n">
        <v>4.59</v>
      </c>
      <c r="H199" s="58" t="n">
        <v>0</v>
      </c>
      <c r="I199" s="57">
        <f>G199*AO199</f>
      </c>
      <c r="J199" s="57">
        <f>G199*AP199</f>
      </c>
      <c r="K199" s="57">
        <f>G199*H199</f>
      </c>
      <c r="L199" s="59" t="s">
        <v>60</v>
      </c>
      <c r="Z199" s="57">
        <f>IF(AQ199="5",BJ199,0)</f>
      </c>
      <c r="AB199" s="57">
        <f>IF(AQ199="1",BH199,0)</f>
      </c>
      <c r="AC199" s="57">
        <f>IF(AQ199="1",BI199,0)</f>
      </c>
      <c r="AD199" s="57">
        <f>IF(AQ199="7",BH199,0)</f>
      </c>
      <c r="AE199" s="57">
        <f>IF(AQ199="7",BI199,0)</f>
      </c>
      <c r="AF199" s="57">
        <f>IF(AQ199="2",BH199,0)</f>
      </c>
      <c r="AG199" s="57">
        <f>IF(AQ199="2",BI199,0)</f>
      </c>
      <c r="AH199" s="57">
        <f>IF(AQ199="0",BJ199,0)</f>
      </c>
      <c r="AI199" s="33" t="s">
        <v>299</v>
      </c>
      <c r="AJ199" s="57">
        <f>IF(AN199=0,K199,0)</f>
      </c>
      <c r="AK199" s="57">
        <f>IF(AN199=12,K199,0)</f>
      </c>
      <c r="AL199" s="57">
        <f>IF(AN199=21,K199,0)</f>
      </c>
      <c r="AN199" s="57" t="n">
        <v>21</v>
      </c>
      <c r="AO199" s="57">
        <f>H199*0</f>
      </c>
      <c r="AP199" s="57">
        <f>H199*(1-0)</f>
      </c>
      <c r="AQ199" s="60" t="s">
        <v>56</v>
      </c>
      <c r="AV199" s="57">
        <f>AW199+AX199</f>
      </c>
      <c r="AW199" s="57">
        <f>G199*AO199</f>
      </c>
      <c r="AX199" s="57">
        <f>G199*AP199</f>
      </c>
      <c r="AY199" s="60" t="s">
        <v>102</v>
      </c>
      <c r="AZ199" s="60" t="s">
        <v>302</v>
      </c>
      <c r="BA199" s="33" t="s">
        <v>303</v>
      </c>
      <c r="BC199" s="57">
        <f>AW199+AX199</f>
      </c>
      <c r="BD199" s="57">
        <f>H199/(100-BE199)*100</f>
      </c>
      <c r="BE199" s="57" t="n">
        <v>0</v>
      </c>
      <c r="BF199" s="57">
        <f>199</f>
      </c>
      <c r="BH199" s="57">
        <f>G199*AO199</f>
      </c>
      <c r="BI199" s="57">
        <f>G199*AP199</f>
      </c>
      <c r="BJ199" s="57">
        <f>G199*H199</f>
      </c>
      <c r="BK199" s="57"/>
      <c r="BL199" s="57" t="n">
        <v>17</v>
      </c>
      <c r="BW199" s="57" t="n">
        <v>21</v>
      </c>
      <c r="BX199" s="16" t="s">
        <v>108</v>
      </c>
    </row>
    <row r="200" customHeight="true" ht="13.5">
      <c r="A200" s="61"/>
      <c r="C200" s="66" t="s">
        <v>69</v>
      </c>
      <c r="D200" s="67" t="s">
        <v>109</v>
      </c>
      <c r="E200" s="68"/>
      <c r="F200" s="68"/>
      <c r="G200" s="68"/>
      <c r="H200" s="69"/>
      <c r="I200" s="68"/>
      <c r="J200" s="68"/>
      <c r="K200" s="68"/>
      <c r="L200" s="70"/>
    </row>
    <row r="201">
      <c r="A201" s="61"/>
      <c r="D201" s="62" t="s">
        <v>313</v>
      </c>
      <c r="E201" s="63" t="s">
        <v>51</v>
      </c>
      <c r="G201" s="64" t="n">
        <v>4.59</v>
      </c>
      <c r="L201" s="65"/>
    </row>
    <row r="202">
      <c r="A202" s="51" t="s">
        <v>51</v>
      </c>
      <c r="B202" s="52" t="s">
        <v>299</v>
      </c>
      <c r="C202" s="52" t="s">
        <v>111</v>
      </c>
      <c r="D202" s="53" t="s">
        <v>112</v>
      </c>
      <c r="E202" s="52"/>
      <c r="F202" s="54" t="s">
        <v>4</v>
      </c>
      <c r="G202" s="54" t="s">
        <v>4</v>
      </c>
      <c r="H202" s="55" t="s">
        <v>4</v>
      </c>
      <c r="I202" s="2">
        <f>SUM(I203:I206)</f>
      </c>
      <c r="J202" s="2">
        <f>SUM(J203:J206)</f>
      </c>
      <c r="K202" s="2">
        <f>SUM(K203:K206)</f>
      </c>
      <c r="L202" s="56" t="s">
        <v>51</v>
      </c>
      <c r="AI202" s="33" t="s">
        <v>299</v>
      </c>
      <c r="AS202" s="2">
        <f>SUM(AJ203:AJ206)</f>
      </c>
      <c r="AT202" s="2">
        <f>SUM(AK203:AK206)</f>
      </c>
      <c r="AU202" s="2">
        <f>SUM(AL203:AL206)</f>
      </c>
    </row>
    <row r="203">
      <c r="A203" s="10" t="s">
        <v>314</v>
      </c>
      <c r="B203" s="11" t="s">
        <v>299</v>
      </c>
      <c r="C203" s="11" t="s">
        <v>114</v>
      </c>
      <c r="D203" s="16" t="s">
        <v>115</v>
      </c>
      <c r="E203" s="11"/>
      <c r="F203" s="11" t="s">
        <v>59</v>
      </c>
      <c r="G203" s="57" t="n">
        <v>40</v>
      </c>
      <c r="H203" s="58" t="n">
        <v>0</v>
      </c>
      <c r="I203" s="57">
        <f>G203*AO203</f>
      </c>
      <c r="J203" s="57">
        <f>G203*AP203</f>
      </c>
      <c r="K203" s="57">
        <f>G203*H203</f>
      </c>
      <c r="L203" s="59" t="s">
        <v>60</v>
      </c>
      <c r="Z203" s="57">
        <f>IF(AQ203="5",BJ203,0)</f>
      </c>
      <c r="AB203" s="57">
        <f>IF(AQ203="1",BH203,0)</f>
      </c>
      <c r="AC203" s="57">
        <f>IF(AQ203="1",BI203,0)</f>
      </c>
      <c r="AD203" s="57">
        <f>IF(AQ203="7",BH203,0)</f>
      </c>
      <c r="AE203" s="57">
        <f>IF(AQ203="7",BI203,0)</f>
      </c>
      <c r="AF203" s="57">
        <f>IF(AQ203="2",BH203,0)</f>
      </c>
      <c r="AG203" s="57">
        <f>IF(AQ203="2",BI203,0)</f>
      </c>
      <c r="AH203" s="57">
        <f>IF(AQ203="0",BJ203,0)</f>
      </c>
      <c r="AI203" s="33" t="s">
        <v>299</v>
      </c>
      <c r="AJ203" s="57">
        <f>IF(AN203=0,K203,0)</f>
      </c>
      <c r="AK203" s="57">
        <f>IF(AN203=12,K203,0)</f>
      </c>
      <c r="AL203" s="57">
        <f>IF(AN203=21,K203,0)</f>
      </c>
      <c r="AN203" s="57" t="n">
        <v>21</v>
      </c>
      <c r="AO203" s="57">
        <f>H203*0.070439865</f>
      </c>
      <c r="AP203" s="57">
        <f>H203*(1-0.070439865)</f>
      </c>
      <c r="AQ203" s="60" t="s">
        <v>56</v>
      </c>
      <c r="AV203" s="57">
        <f>AW203+AX203</f>
      </c>
      <c r="AW203" s="57">
        <f>G203*AO203</f>
      </c>
      <c r="AX203" s="57">
        <f>G203*AP203</f>
      </c>
      <c r="AY203" s="60" t="s">
        <v>116</v>
      </c>
      <c r="AZ203" s="60" t="s">
        <v>302</v>
      </c>
      <c r="BA203" s="33" t="s">
        <v>303</v>
      </c>
      <c r="BC203" s="57">
        <f>AW203+AX203</f>
      </c>
      <c r="BD203" s="57">
        <f>H203/(100-BE203)*100</f>
      </c>
      <c r="BE203" s="57" t="n">
        <v>0</v>
      </c>
      <c r="BF203" s="57">
        <f>203</f>
      </c>
      <c r="BH203" s="57">
        <f>G203*AO203</f>
      </c>
      <c r="BI203" s="57">
        <f>G203*AP203</f>
      </c>
      <c r="BJ203" s="57">
        <f>G203*H203</f>
      </c>
      <c r="BK203" s="57"/>
      <c r="BL203" s="57" t="n">
        <v>18</v>
      </c>
      <c r="BW203" s="57" t="n">
        <v>21</v>
      </c>
      <c r="BX203" s="16" t="s">
        <v>115</v>
      </c>
    </row>
    <row r="204">
      <c r="A204" s="10" t="s">
        <v>315</v>
      </c>
      <c r="B204" s="11" t="s">
        <v>299</v>
      </c>
      <c r="C204" s="11" t="s">
        <v>120</v>
      </c>
      <c r="D204" s="16" t="s">
        <v>121</v>
      </c>
      <c r="E204" s="11"/>
      <c r="F204" s="11" t="s">
        <v>59</v>
      </c>
      <c r="G204" s="57" t="n">
        <v>434.28</v>
      </c>
      <c r="H204" s="58" t="n">
        <v>0</v>
      </c>
      <c r="I204" s="57">
        <f>G204*AO204</f>
      </c>
      <c r="J204" s="57">
        <f>G204*AP204</f>
      </c>
      <c r="K204" s="57">
        <f>G204*H204</f>
      </c>
      <c r="L204" s="59" t="s">
        <v>60</v>
      </c>
      <c r="Z204" s="57">
        <f>IF(AQ204="5",BJ204,0)</f>
      </c>
      <c r="AB204" s="57">
        <f>IF(AQ204="1",BH204,0)</f>
      </c>
      <c r="AC204" s="57">
        <f>IF(AQ204="1",BI204,0)</f>
      </c>
      <c r="AD204" s="57">
        <f>IF(AQ204="7",BH204,0)</f>
      </c>
      <c r="AE204" s="57">
        <f>IF(AQ204="7",BI204,0)</f>
      </c>
      <c r="AF204" s="57">
        <f>IF(AQ204="2",BH204,0)</f>
      </c>
      <c r="AG204" s="57">
        <f>IF(AQ204="2",BI204,0)</f>
      </c>
      <c r="AH204" s="57">
        <f>IF(AQ204="0",BJ204,0)</f>
      </c>
      <c r="AI204" s="33" t="s">
        <v>299</v>
      </c>
      <c r="AJ204" s="57">
        <f>IF(AN204=0,K204,0)</f>
      </c>
      <c r="AK204" s="57">
        <f>IF(AN204=12,K204,0)</f>
      </c>
      <c r="AL204" s="57">
        <f>IF(AN204=21,K204,0)</f>
      </c>
      <c r="AN204" s="57" t="n">
        <v>21</v>
      </c>
      <c r="AO204" s="57">
        <f>H204*0</f>
      </c>
      <c r="AP204" s="57">
        <f>H204*(1-0)</f>
      </c>
      <c r="AQ204" s="60" t="s">
        <v>56</v>
      </c>
      <c r="AV204" s="57">
        <f>AW204+AX204</f>
      </c>
      <c r="AW204" s="57">
        <f>G204*AO204</f>
      </c>
      <c r="AX204" s="57">
        <f>G204*AP204</f>
      </c>
      <c r="AY204" s="60" t="s">
        <v>116</v>
      </c>
      <c r="AZ204" s="60" t="s">
        <v>302</v>
      </c>
      <c r="BA204" s="33" t="s">
        <v>303</v>
      </c>
      <c r="BC204" s="57">
        <f>AW204+AX204</f>
      </c>
      <c r="BD204" s="57">
        <f>H204/(100-BE204)*100</f>
      </c>
      <c r="BE204" s="57" t="n">
        <v>0</v>
      </c>
      <c r="BF204" s="57">
        <f>204</f>
      </c>
      <c r="BH204" s="57">
        <f>G204*AO204</f>
      </c>
      <c r="BI204" s="57">
        <f>G204*AP204</f>
      </c>
      <c r="BJ204" s="57">
        <f>G204*H204</f>
      </c>
      <c r="BK204" s="57"/>
      <c r="BL204" s="57" t="n">
        <v>18</v>
      </c>
      <c r="BW204" s="57" t="n">
        <v>21</v>
      </c>
      <c r="BX204" s="16" t="s">
        <v>121</v>
      </c>
    </row>
    <row r="205">
      <c r="A205" s="61"/>
      <c r="D205" s="62" t="s">
        <v>316</v>
      </c>
      <c r="E205" s="63" t="s">
        <v>51</v>
      </c>
      <c r="G205" s="64" t="n">
        <v>434.28</v>
      </c>
      <c r="L205" s="65"/>
    </row>
    <row r="206">
      <c r="A206" s="10" t="s">
        <v>317</v>
      </c>
      <c r="B206" s="11" t="s">
        <v>299</v>
      </c>
      <c r="C206" s="11" t="s">
        <v>123</v>
      </c>
      <c r="D206" s="16" t="s">
        <v>124</v>
      </c>
      <c r="E206" s="11"/>
      <c r="F206" s="11" t="s">
        <v>59</v>
      </c>
      <c r="G206" s="57" t="n">
        <v>40</v>
      </c>
      <c r="H206" s="58" t="n">
        <v>0</v>
      </c>
      <c r="I206" s="57">
        <f>G206*AO206</f>
      </c>
      <c r="J206" s="57">
        <f>G206*AP206</f>
      </c>
      <c r="K206" s="57">
        <f>G206*H206</f>
      </c>
      <c r="L206" s="59" t="s">
        <v>60</v>
      </c>
      <c r="Z206" s="57">
        <f>IF(AQ206="5",BJ206,0)</f>
      </c>
      <c r="AB206" s="57">
        <f>IF(AQ206="1",BH206,0)</f>
      </c>
      <c r="AC206" s="57">
        <f>IF(AQ206="1",BI206,0)</f>
      </c>
      <c r="AD206" s="57">
        <f>IF(AQ206="7",BH206,0)</f>
      </c>
      <c r="AE206" s="57">
        <f>IF(AQ206="7",BI206,0)</f>
      </c>
      <c r="AF206" s="57">
        <f>IF(AQ206="2",BH206,0)</f>
      </c>
      <c r="AG206" s="57">
        <f>IF(AQ206="2",BI206,0)</f>
      </c>
      <c r="AH206" s="57">
        <f>IF(AQ206="0",BJ206,0)</f>
      </c>
      <c r="AI206" s="33" t="s">
        <v>299</v>
      </c>
      <c r="AJ206" s="57">
        <f>IF(AN206=0,K206,0)</f>
      </c>
      <c r="AK206" s="57">
        <f>IF(AN206=12,K206,0)</f>
      </c>
      <c r="AL206" s="57">
        <f>IF(AN206=21,K206,0)</f>
      </c>
      <c r="AN206" s="57" t="n">
        <v>21</v>
      </c>
      <c r="AO206" s="57">
        <f>H206*0</f>
      </c>
      <c r="AP206" s="57">
        <f>H206*(1-0)</f>
      </c>
      <c r="AQ206" s="60" t="s">
        <v>56</v>
      </c>
      <c r="AV206" s="57">
        <f>AW206+AX206</f>
      </c>
      <c r="AW206" s="57">
        <f>G206*AO206</f>
      </c>
      <c r="AX206" s="57">
        <f>G206*AP206</f>
      </c>
      <c r="AY206" s="60" t="s">
        <v>116</v>
      </c>
      <c r="AZ206" s="60" t="s">
        <v>302</v>
      </c>
      <c r="BA206" s="33" t="s">
        <v>303</v>
      </c>
      <c r="BC206" s="57">
        <f>AW206+AX206</f>
      </c>
      <c r="BD206" s="57">
        <f>H206/(100-BE206)*100</f>
      </c>
      <c r="BE206" s="57" t="n">
        <v>0</v>
      </c>
      <c r="BF206" s="57">
        <f>206</f>
      </c>
      <c r="BH206" s="57">
        <f>G206*AO206</f>
      </c>
      <c r="BI206" s="57">
        <f>G206*AP206</f>
      </c>
      <c r="BJ206" s="57">
        <f>G206*H206</f>
      </c>
      <c r="BK206" s="57"/>
      <c r="BL206" s="57" t="n">
        <v>18</v>
      </c>
      <c r="BW206" s="57" t="n">
        <v>21</v>
      </c>
      <c r="BX206" s="16" t="s">
        <v>124</v>
      </c>
    </row>
    <row r="207">
      <c r="A207" s="51" t="s">
        <v>51</v>
      </c>
      <c r="B207" s="52" t="s">
        <v>299</v>
      </c>
      <c r="C207" s="52" t="s">
        <v>126</v>
      </c>
      <c r="D207" s="53" t="s">
        <v>127</v>
      </c>
      <c r="E207" s="52"/>
      <c r="F207" s="54" t="s">
        <v>4</v>
      </c>
      <c r="G207" s="54" t="s">
        <v>4</v>
      </c>
      <c r="H207" s="55" t="s">
        <v>4</v>
      </c>
      <c r="I207" s="2">
        <f>SUM(I208:I211)</f>
      </c>
      <c r="J207" s="2">
        <f>SUM(J208:J211)</f>
      </c>
      <c r="K207" s="2">
        <f>SUM(K208:K211)</f>
      </c>
      <c r="L207" s="56" t="s">
        <v>51</v>
      </c>
      <c r="AI207" s="33" t="s">
        <v>299</v>
      </c>
      <c r="AS207" s="2">
        <f>SUM(AJ208:AJ211)</f>
      </c>
      <c r="AT207" s="2">
        <f>SUM(AK208:AK211)</f>
      </c>
      <c r="AU207" s="2">
        <f>SUM(AL208:AL211)</f>
      </c>
    </row>
    <row r="208">
      <c r="A208" s="10" t="s">
        <v>318</v>
      </c>
      <c r="B208" s="11" t="s">
        <v>299</v>
      </c>
      <c r="C208" s="11" t="s">
        <v>129</v>
      </c>
      <c r="D208" s="16" t="s">
        <v>130</v>
      </c>
      <c r="E208" s="11"/>
      <c r="F208" s="11" t="s">
        <v>59</v>
      </c>
      <c r="G208" s="57" t="n">
        <v>25.5</v>
      </c>
      <c r="H208" s="58" t="n">
        <v>0</v>
      </c>
      <c r="I208" s="57">
        <f>G208*AO208</f>
      </c>
      <c r="J208" s="57">
        <f>G208*AP208</f>
      </c>
      <c r="K208" s="57">
        <f>G208*H208</f>
      </c>
      <c r="L208" s="59" t="s">
        <v>60</v>
      </c>
      <c r="Z208" s="57">
        <f>IF(AQ208="5",BJ208,0)</f>
      </c>
      <c r="AB208" s="57">
        <f>IF(AQ208="1",BH208,0)</f>
      </c>
      <c r="AC208" s="57">
        <f>IF(AQ208="1",BI208,0)</f>
      </c>
      <c r="AD208" s="57">
        <f>IF(AQ208="7",BH208,0)</f>
      </c>
      <c r="AE208" s="57">
        <f>IF(AQ208="7",BI208,0)</f>
      </c>
      <c r="AF208" s="57">
        <f>IF(AQ208="2",BH208,0)</f>
      </c>
      <c r="AG208" s="57">
        <f>IF(AQ208="2",BI208,0)</f>
      </c>
      <c r="AH208" s="57">
        <f>IF(AQ208="0",BJ208,0)</f>
      </c>
      <c r="AI208" s="33" t="s">
        <v>299</v>
      </c>
      <c r="AJ208" s="57">
        <f>IF(AN208=0,K208,0)</f>
      </c>
      <c r="AK208" s="57">
        <f>IF(AN208=12,K208,0)</f>
      </c>
      <c r="AL208" s="57">
        <f>IF(AN208=21,K208,0)</f>
      </c>
      <c r="AN208" s="57" t="n">
        <v>21</v>
      </c>
      <c r="AO208" s="57">
        <f>H208*0.781673307</f>
      </c>
      <c r="AP208" s="57">
        <f>H208*(1-0.781673307)</f>
      </c>
      <c r="AQ208" s="60" t="s">
        <v>56</v>
      </c>
      <c r="AV208" s="57">
        <f>AW208+AX208</f>
      </c>
      <c r="AW208" s="57">
        <f>G208*AO208</f>
      </c>
      <c r="AX208" s="57">
        <f>G208*AP208</f>
      </c>
      <c r="AY208" s="60" t="s">
        <v>131</v>
      </c>
      <c r="AZ208" s="60" t="s">
        <v>319</v>
      </c>
      <c r="BA208" s="33" t="s">
        <v>303</v>
      </c>
      <c r="BC208" s="57">
        <f>AW208+AX208</f>
      </c>
      <c r="BD208" s="57">
        <f>H208/(100-BE208)*100</f>
      </c>
      <c r="BE208" s="57" t="n">
        <v>0</v>
      </c>
      <c r="BF208" s="57">
        <f>208</f>
      </c>
      <c r="BH208" s="57">
        <f>G208*AO208</f>
      </c>
      <c r="BI208" s="57">
        <f>G208*AP208</f>
      </c>
      <c r="BJ208" s="57">
        <f>G208*H208</f>
      </c>
      <c r="BK208" s="57"/>
      <c r="BL208" s="57" t="n">
        <v>56</v>
      </c>
      <c r="BW208" s="57" t="n">
        <v>21</v>
      </c>
      <c r="BX208" s="16" t="s">
        <v>130</v>
      </c>
    </row>
    <row r="209" customHeight="true" ht="13.5">
      <c r="A209" s="61"/>
      <c r="C209" s="66" t="s">
        <v>69</v>
      </c>
      <c r="D209" s="67" t="s">
        <v>133</v>
      </c>
      <c r="E209" s="68"/>
      <c r="F209" s="68"/>
      <c r="G209" s="68"/>
      <c r="H209" s="69"/>
      <c r="I209" s="68"/>
      <c r="J209" s="68"/>
      <c r="K209" s="68"/>
      <c r="L209" s="70"/>
    </row>
    <row r="210">
      <c r="A210" s="61"/>
      <c r="D210" s="62" t="s">
        <v>320</v>
      </c>
      <c r="E210" s="63" t="s">
        <v>51</v>
      </c>
      <c r="G210" s="64" t="n">
        <v>25.5</v>
      </c>
      <c r="L210" s="65"/>
    </row>
    <row r="211">
      <c r="A211" s="10" t="s">
        <v>321</v>
      </c>
      <c r="B211" s="11" t="s">
        <v>299</v>
      </c>
      <c r="C211" s="11" t="s">
        <v>250</v>
      </c>
      <c r="D211" s="16" t="s">
        <v>251</v>
      </c>
      <c r="E211" s="11"/>
      <c r="F211" s="11" t="s">
        <v>59</v>
      </c>
      <c r="G211" s="57" t="n">
        <v>413.6</v>
      </c>
      <c r="H211" s="58" t="n">
        <v>0</v>
      </c>
      <c r="I211" s="57">
        <f>G211*AO211</f>
      </c>
      <c r="J211" s="57">
        <f>G211*AP211</f>
      </c>
      <c r="K211" s="57">
        <f>G211*H211</f>
      </c>
      <c r="L211" s="59" t="s">
        <v>60</v>
      </c>
      <c r="Z211" s="57">
        <f>IF(AQ211="5",BJ211,0)</f>
      </c>
      <c r="AB211" s="57">
        <f>IF(AQ211="1",BH211,0)</f>
      </c>
      <c r="AC211" s="57">
        <f>IF(AQ211="1",BI211,0)</f>
      </c>
      <c r="AD211" s="57">
        <f>IF(AQ211="7",BH211,0)</f>
      </c>
      <c r="AE211" s="57">
        <f>IF(AQ211="7",BI211,0)</f>
      </c>
      <c r="AF211" s="57">
        <f>IF(AQ211="2",BH211,0)</f>
      </c>
      <c r="AG211" s="57">
        <f>IF(AQ211="2",BI211,0)</f>
      </c>
      <c r="AH211" s="57">
        <f>IF(AQ211="0",BJ211,0)</f>
      </c>
      <c r="AI211" s="33" t="s">
        <v>299</v>
      </c>
      <c r="AJ211" s="57">
        <f>IF(AN211=0,K211,0)</f>
      </c>
      <c r="AK211" s="57">
        <f>IF(AN211=12,K211,0)</f>
      </c>
      <c r="AL211" s="57">
        <f>IF(AN211=21,K211,0)</f>
      </c>
      <c r="AN211" s="57" t="n">
        <v>21</v>
      </c>
      <c r="AO211" s="57">
        <f>H211*0.788496241</f>
      </c>
      <c r="AP211" s="57">
        <f>H211*(1-0.788496241)</f>
      </c>
      <c r="AQ211" s="60" t="s">
        <v>56</v>
      </c>
      <c r="AV211" s="57">
        <f>AW211+AX211</f>
      </c>
      <c r="AW211" s="57">
        <f>G211*AO211</f>
      </c>
      <c r="AX211" s="57">
        <f>G211*AP211</f>
      </c>
      <c r="AY211" s="60" t="s">
        <v>131</v>
      </c>
      <c r="AZ211" s="60" t="s">
        <v>319</v>
      </c>
      <c r="BA211" s="33" t="s">
        <v>303</v>
      </c>
      <c r="BC211" s="57">
        <f>AW211+AX211</f>
      </c>
      <c r="BD211" s="57">
        <f>H211/(100-BE211)*100</f>
      </c>
      <c r="BE211" s="57" t="n">
        <v>0</v>
      </c>
      <c r="BF211" s="57">
        <f>211</f>
      </c>
      <c r="BH211" s="57">
        <f>G211*AO211</f>
      </c>
      <c r="BI211" s="57">
        <f>G211*AP211</f>
      </c>
      <c r="BJ211" s="57">
        <f>G211*H211</f>
      </c>
      <c r="BK211" s="57"/>
      <c r="BL211" s="57" t="n">
        <v>56</v>
      </c>
      <c r="BW211" s="57" t="n">
        <v>21</v>
      </c>
      <c r="BX211" s="16" t="s">
        <v>251</v>
      </c>
    </row>
    <row r="212" customHeight="true" ht="13.5">
      <c r="A212" s="61"/>
      <c r="C212" s="66" t="s">
        <v>69</v>
      </c>
      <c r="D212" s="67" t="s">
        <v>138</v>
      </c>
      <c r="E212" s="68"/>
      <c r="F212" s="68"/>
      <c r="G212" s="68"/>
      <c r="H212" s="69"/>
      <c r="I212" s="68"/>
      <c r="J212" s="68"/>
      <c r="K212" s="68"/>
      <c r="L212" s="70"/>
    </row>
    <row r="213">
      <c r="A213" s="51" t="s">
        <v>51</v>
      </c>
      <c r="B213" s="52" t="s">
        <v>299</v>
      </c>
      <c r="C213" s="52" t="s">
        <v>252</v>
      </c>
      <c r="D213" s="53" t="s">
        <v>253</v>
      </c>
      <c r="E213" s="52"/>
      <c r="F213" s="54" t="s">
        <v>4</v>
      </c>
      <c r="G213" s="54" t="s">
        <v>4</v>
      </c>
      <c r="H213" s="55" t="s">
        <v>4</v>
      </c>
      <c r="I213" s="2">
        <f>SUM(I214:I214)</f>
      </c>
      <c r="J213" s="2">
        <f>SUM(J214:J214)</f>
      </c>
      <c r="K213" s="2">
        <f>SUM(K214:K214)</f>
      </c>
      <c r="L213" s="56" t="s">
        <v>51</v>
      </c>
      <c r="AI213" s="33" t="s">
        <v>299</v>
      </c>
      <c r="AS213" s="2">
        <f>SUM(AJ214:AJ214)</f>
      </c>
      <c r="AT213" s="2">
        <f>SUM(AK214:AK214)</f>
      </c>
      <c r="AU213" s="2">
        <f>SUM(AL214:AL214)</f>
      </c>
    </row>
    <row r="214">
      <c r="A214" s="10" t="s">
        <v>322</v>
      </c>
      <c r="B214" s="11" t="s">
        <v>299</v>
      </c>
      <c r="C214" s="11" t="s">
        <v>255</v>
      </c>
      <c r="D214" s="16" t="s">
        <v>256</v>
      </c>
      <c r="E214" s="11"/>
      <c r="F214" s="11" t="s">
        <v>59</v>
      </c>
      <c r="G214" s="57" t="n">
        <v>20</v>
      </c>
      <c r="H214" s="58" t="n">
        <v>0</v>
      </c>
      <c r="I214" s="57">
        <f>G214*AO214</f>
      </c>
      <c r="J214" s="57">
        <f>G214*AP214</f>
      </c>
      <c r="K214" s="57">
        <f>G214*H214</f>
      </c>
      <c r="L214" s="59" t="s">
        <v>60</v>
      </c>
      <c r="Z214" s="57">
        <f>IF(AQ214="5",BJ214,0)</f>
      </c>
      <c r="AB214" s="57">
        <f>IF(AQ214="1",BH214,0)</f>
      </c>
      <c r="AC214" s="57">
        <f>IF(AQ214="1",BI214,0)</f>
      </c>
      <c r="AD214" s="57">
        <f>IF(AQ214="7",BH214,0)</f>
      </c>
      <c r="AE214" s="57">
        <f>IF(AQ214="7",BI214,0)</f>
      </c>
      <c r="AF214" s="57">
        <f>IF(AQ214="2",BH214,0)</f>
      </c>
      <c r="AG214" s="57">
        <f>IF(AQ214="2",BI214,0)</f>
      </c>
      <c r="AH214" s="57">
        <f>IF(AQ214="0",BJ214,0)</f>
      </c>
      <c r="AI214" s="33" t="s">
        <v>299</v>
      </c>
      <c r="AJ214" s="57">
        <f>IF(AN214=0,K214,0)</f>
      </c>
      <c r="AK214" s="57">
        <f>IF(AN214=12,K214,0)</f>
      </c>
      <c r="AL214" s="57">
        <f>IF(AN214=21,K214,0)</f>
      </c>
      <c r="AN214" s="57" t="n">
        <v>21</v>
      </c>
      <c r="AO214" s="57">
        <f>H214*0.228211382</f>
      </c>
      <c r="AP214" s="57">
        <f>H214*(1-0.228211382)</f>
      </c>
      <c r="AQ214" s="60" t="s">
        <v>56</v>
      </c>
      <c r="AV214" s="57">
        <f>AW214+AX214</f>
      </c>
      <c r="AW214" s="57">
        <f>G214*AO214</f>
      </c>
      <c r="AX214" s="57">
        <f>G214*AP214</f>
      </c>
      <c r="AY214" s="60" t="s">
        <v>257</v>
      </c>
      <c r="AZ214" s="60" t="s">
        <v>319</v>
      </c>
      <c r="BA214" s="33" t="s">
        <v>303</v>
      </c>
      <c r="BC214" s="57">
        <f>AW214+AX214</f>
      </c>
      <c r="BD214" s="57">
        <f>H214/(100-BE214)*100</f>
      </c>
      <c r="BE214" s="57" t="n">
        <v>0</v>
      </c>
      <c r="BF214" s="57">
        <f>214</f>
      </c>
      <c r="BH214" s="57">
        <f>G214*AO214</f>
      </c>
      <c r="BI214" s="57">
        <f>G214*AP214</f>
      </c>
      <c r="BJ214" s="57">
        <f>G214*H214</f>
      </c>
      <c r="BK214" s="57"/>
      <c r="BL214" s="57" t="n">
        <v>57</v>
      </c>
      <c r="BW214" s="57" t="n">
        <v>21</v>
      </c>
      <c r="BX214" s="16" t="s">
        <v>256</v>
      </c>
    </row>
    <row r="215" customHeight="true" ht="13.5">
      <c r="A215" s="61"/>
      <c r="C215" s="66" t="s">
        <v>69</v>
      </c>
      <c r="D215" s="67" t="s">
        <v>258</v>
      </c>
      <c r="E215" s="68"/>
      <c r="F215" s="68"/>
      <c r="G215" s="68"/>
      <c r="H215" s="69"/>
      <c r="I215" s="68"/>
      <c r="J215" s="68"/>
      <c r="K215" s="68"/>
      <c r="L215" s="70"/>
    </row>
    <row r="216">
      <c r="A216" s="51" t="s">
        <v>51</v>
      </c>
      <c r="B216" s="52" t="s">
        <v>299</v>
      </c>
      <c r="C216" s="52" t="s">
        <v>139</v>
      </c>
      <c r="D216" s="53" t="s">
        <v>140</v>
      </c>
      <c r="E216" s="52"/>
      <c r="F216" s="54" t="s">
        <v>4</v>
      </c>
      <c r="G216" s="54" t="s">
        <v>4</v>
      </c>
      <c r="H216" s="55" t="s">
        <v>4</v>
      </c>
      <c r="I216" s="2">
        <f>SUM(I217:I220)</f>
      </c>
      <c r="J216" s="2">
        <f>SUM(J217:J220)</f>
      </c>
      <c r="K216" s="2">
        <f>SUM(K217:K220)</f>
      </c>
      <c r="L216" s="56" t="s">
        <v>51</v>
      </c>
      <c r="AI216" s="33" t="s">
        <v>299</v>
      </c>
      <c r="AS216" s="2">
        <f>SUM(AJ217:AJ220)</f>
      </c>
      <c r="AT216" s="2">
        <f>SUM(AK217:AK220)</f>
      </c>
      <c r="AU216" s="2">
        <f>SUM(AL217:AL220)</f>
      </c>
    </row>
    <row r="217">
      <c r="A217" s="10" t="s">
        <v>323</v>
      </c>
      <c r="B217" s="11" t="s">
        <v>299</v>
      </c>
      <c r="C217" s="11" t="s">
        <v>142</v>
      </c>
      <c r="D217" s="16" t="s">
        <v>143</v>
      </c>
      <c r="E217" s="11"/>
      <c r="F217" s="11" t="s">
        <v>59</v>
      </c>
      <c r="G217" s="57" t="n">
        <v>413.6</v>
      </c>
      <c r="H217" s="58" t="n">
        <v>0</v>
      </c>
      <c r="I217" s="57">
        <f>G217*AO217</f>
      </c>
      <c r="J217" s="57">
        <f>G217*AP217</f>
      </c>
      <c r="K217" s="57">
        <f>G217*H217</f>
      </c>
      <c r="L217" s="59" t="s">
        <v>60</v>
      </c>
      <c r="Z217" s="57">
        <f>IF(AQ217="5",BJ217,0)</f>
      </c>
      <c r="AB217" s="57">
        <f>IF(AQ217="1",BH217,0)</f>
      </c>
      <c r="AC217" s="57">
        <f>IF(AQ217="1",BI217,0)</f>
      </c>
      <c r="AD217" s="57">
        <f>IF(AQ217="7",BH217,0)</f>
      </c>
      <c r="AE217" s="57">
        <f>IF(AQ217="7",BI217,0)</f>
      </c>
      <c r="AF217" s="57">
        <f>IF(AQ217="2",BH217,0)</f>
      </c>
      <c r="AG217" s="57">
        <f>IF(AQ217="2",BI217,0)</f>
      </c>
      <c r="AH217" s="57">
        <f>IF(AQ217="0",BJ217,0)</f>
      </c>
      <c r="AI217" s="33" t="s">
        <v>299</v>
      </c>
      <c r="AJ217" s="57">
        <f>IF(AN217=0,K217,0)</f>
      </c>
      <c r="AK217" s="57">
        <f>IF(AN217=12,K217,0)</f>
      </c>
      <c r="AL217" s="57">
        <f>IF(AN217=21,K217,0)</f>
      </c>
      <c r="AN217" s="57" t="n">
        <v>21</v>
      </c>
      <c r="AO217" s="57">
        <f>H217*0.154257975</f>
      </c>
      <c r="AP217" s="57">
        <f>H217*(1-0.154257975)</f>
      </c>
      <c r="AQ217" s="60" t="s">
        <v>56</v>
      </c>
      <c r="AV217" s="57">
        <f>AW217+AX217</f>
      </c>
      <c r="AW217" s="57">
        <f>G217*AO217</f>
      </c>
      <c r="AX217" s="57">
        <f>G217*AP217</f>
      </c>
      <c r="AY217" s="60" t="s">
        <v>144</v>
      </c>
      <c r="AZ217" s="60" t="s">
        <v>319</v>
      </c>
      <c r="BA217" s="33" t="s">
        <v>303</v>
      </c>
      <c r="BC217" s="57">
        <f>AW217+AX217</f>
      </c>
      <c r="BD217" s="57">
        <f>H217/(100-BE217)*100</f>
      </c>
      <c r="BE217" s="57" t="n">
        <v>0</v>
      </c>
      <c r="BF217" s="57">
        <f>217</f>
      </c>
      <c r="BH217" s="57">
        <f>G217*AO217</f>
      </c>
      <c r="BI217" s="57">
        <f>G217*AP217</f>
      </c>
      <c r="BJ217" s="57">
        <f>G217*H217</f>
      </c>
      <c r="BK217" s="57"/>
      <c r="BL217" s="57" t="n">
        <v>59</v>
      </c>
      <c r="BW217" s="57" t="n">
        <v>21</v>
      </c>
      <c r="BX217" s="16" t="s">
        <v>143</v>
      </c>
    </row>
    <row r="218" customHeight="true" ht="13.5">
      <c r="A218" s="61"/>
      <c r="C218" s="66" t="s">
        <v>69</v>
      </c>
      <c r="D218" s="67" t="s">
        <v>145</v>
      </c>
      <c r="E218" s="68"/>
      <c r="F218" s="68"/>
      <c r="G218" s="68"/>
      <c r="H218" s="69"/>
      <c r="I218" s="68"/>
      <c r="J218" s="68"/>
      <c r="K218" s="68"/>
      <c r="L218" s="70"/>
    </row>
    <row r="219">
      <c r="A219" s="10" t="s">
        <v>324</v>
      </c>
      <c r="B219" s="11" t="s">
        <v>299</v>
      </c>
      <c r="C219" s="11" t="s">
        <v>146</v>
      </c>
      <c r="D219" s="16" t="s">
        <v>147</v>
      </c>
      <c r="E219" s="11"/>
      <c r="F219" s="11" t="s">
        <v>68</v>
      </c>
      <c r="G219" s="57" t="n">
        <v>105</v>
      </c>
      <c r="H219" s="58" t="n">
        <v>0</v>
      </c>
      <c r="I219" s="57">
        <f>G219*AO219</f>
      </c>
      <c r="J219" s="57">
        <f>G219*AP219</f>
      </c>
      <c r="K219" s="57">
        <f>G219*H219</f>
      </c>
      <c r="L219" s="59" t="s">
        <v>60</v>
      </c>
      <c r="Z219" s="57">
        <f>IF(AQ219="5",BJ219,0)</f>
      </c>
      <c r="AB219" s="57">
        <f>IF(AQ219="1",BH219,0)</f>
      </c>
      <c r="AC219" s="57">
        <f>IF(AQ219="1",BI219,0)</f>
      </c>
      <c r="AD219" s="57">
        <f>IF(AQ219="7",BH219,0)</f>
      </c>
      <c r="AE219" s="57">
        <f>IF(AQ219="7",BI219,0)</f>
      </c>
      <c r="AF219" s="57">
        <f>IF(AQ219="2",BH219,0)</f>
      </c>
      <c r="AG219" s="57">
        <f>IF(AQ219="2",BI219,0)</f>
      </c>
      <c r="AH219" s="57">
        <f>IF(AQ219="0",BJ219,0)</f>
      </c>
      <c r="AI219" s="33" t="s">
        <v>299</v>
      </c>
      <c r="AJ219" s="57">
        <f>IF(AN219=0,K219,0)</f>
      </c>
      <c r="AK219" s="57">
        <f>IF(AN219=12,K219,0)</f>
      </c>
      <c r="AL219" s="57">
        <f>IF(AN219=21,K219,0)</f>
      </c>
      <c r="AN219" s="57" t="n">
        <v>21</v>
      </c>
      <c r="AO219" s="57">
        <f>H219*0.051456</f>
      </c>
      <c r="AP219" s="57">
        <f>H219*(1-0.051456)</f>
      </c>
      <c r="AQ219" s="60" t="s">
        <v>56</v>
      </c>
      <c r="AV219" s="57">
        <f>AW219+AX219</f>
      </c>
      <c r="AW219" s="57">
        <f>G219*AO219</f>
      </c>
      <c r="AX219" s="57">
        <f>G219*AP219</f>
      </c>
      <c r="AY219" s="60" t="s">
        <v>144</v>
      </c>
      <c r="AZ219" s="60" t="s">
        <v>319</v>
      </c>
      <c r="BA219" s="33" t="s">
        <v>303</v>
      </c>
      <c r="BC219" s="57">
        <f>AW219+AX219</f>
      </c>
      <c r="BD219" s="57">
        <f>H219/(100-BE219)*100</f>
      </c>
      <c r="BE219" s="57" t="n">
        <v>0</v>
      </c>
      <c r="BF219" s="57">
        <f>219</f>
      </c>
      <c r="BH219" s="57">
        <f>G219*AO219</f>
      </c>
      <c r="BI219" s="57">
        <f>G219*AP219</f>
      </c>
      <c r="BJ219" s="57">
        <f>G219*H219</f>
      </c>
      <c r="BK219" s="57"/>
      <c r="BL219" s="57" t="n">
        <v>59</v>
      </c>
      <c r="BW219" s="57" t="n">
        <v>21</v>
      </c>
      <c r="BX219" s="16" t="s">
        <v>147</v>
      </c>
    </row>
    <row r="220" ht="24.75">
      <c r="A220" s="10" t="s">
        <v>325</v>
      </c>
      <c r="B220" s="11" t="s">
        <v>299</v>
      </c>
      <c r="C220" s="11" t="s">
        <v>148</v>
      </c>
      <c r="D220" s="16" t="s">
        <v>149</v>
      </c>
      <c r="E220" s="11"/>
      <c r="F220" s="11" t="s">
        <v>77</v>
      </c>
      <c r="G220" s="57" t="n">
        <v>9.51</v>
      </c>
      <c r="H220" s="58" t="n">
        <v>0</v>
      </c>
      <c r="I220" s="57">
        <f>G220*AO220</f>
      </c>
      <c r="J220" s="57">
        <f>G220*AP220</f>
      </c>
      <c r="K220" s="57">
        <f>G220*H220</f>
      </c>
      <c r="L220" s="59" t="s">
        <v>60</v>
      </c>
      <c r="Z220" s="57">
        <f>IF(AQ220="5",BJ220,0)</f>
      </c>
      <c r="AB220" s="57">
        <f>IF(AQ220="1",BH220,0)</f>
      </c>
      <c r="AC220" s="57">
        <f>IF(AQ220="1",BI220,0)</f>
      </c>
      <c r="AD220" s="57">
        <f>IF(AQ220="7",BH220,0)</f>
      </c>
      <c r="AE220" s="57">
        <f>IF(AQ220="7",BI220,0)</f>
      </c>
      <c r="AF220" s="57">
        <f>IF(AQ220="2",BH220,0)</f>
      </c>
      <c r="AG220" s="57">
        <f>IF(AQ220="2",BI220,0)</f>
      </c>
      <c r="AH220" s="57">
        <f>IF(AQ220="0",BJ220,0)</f>
      </c>
      <c r="AI220" s="33" t="s">
        <v>299</v>
      </c>
      <c r="AJ220" s="57">
        <f>IF(AN220=0,K220,0)</f>
      </c>
      <c r="AK220" s="57">
        <f>IF(AN220=12,K220,0)</f>
      </c>
      <c r="AL220" s="57">
        <f>IF(AN220=21,K220,0)</f>
      </c>
      <c r="AN220" s="57" t="n">
        <v>21</v>
      </c>
      <c r="AO220" s="57">
        <f>H220*0</f>
      </c>
      <c r="AP220" s="57">
        <f>H220*(1-0)</f>
      </c>
      <c r="AQ220" s="60" t="s">
        <v>56</v>
      </c>
      <c r="AV220" s="57">
        <f>AW220+AX220</f>
      </c>
      <c r="AW220" s="57">
        <f>G220*AO220</f>
      </c>
      <c r="AX220" s="57">
        <f>G220*AP220</f>
      </c>
      <c r="AY220" s="60" t="s">
        <v>144</v>
      </c>
      <c r="AZ220" s="60" t="s">
        <v>319</v>
      </c>
      <c r="BA220" s="33" t="s">
        <v>303</v>
      </c>
      <c r="BC220" s="57">
        <f>AW220+AX220</f>
      </c>
      <c r="BD220" s="57">
        <f>H220/(100-BE220)*100</f>
      </c>
      <c r="BE220" s="57" t="n">
        <v>0</v>
      </c>
      <c r="BF220" s="57">
        <f>220</f>
      </c>
      <c r="BH220" s="57">
        <f>G220*AO220</f>
      </c>
      <c r="BI220" s="57">
        <f>G220*AP220</f>
      </c>
      <c r="BJ220" s="57">
        <f>G220*H220</f>
      </c>
      <c r="BK220" s="57"/>
      <c r="BL220" s="57" t="n">
        <v>59</v>
      </c>
      <c r="BW220" s="57" t="n">
        <v>21</v>
      </c>
      <c r="BX220" s="16" t="s">
        <v>149</v>
      </c>
    </row>
    <row r="221">
      <c r="A221" s="61"/>
      <c r="D221" s="62" t="s">
        <v>326</v>
      </c>
      <c r="E221" s="63" t="s">
        <v>51</v>
      </c>
      <c r="G221" s="64" t="n">
        <v>9.51</v>
      </c>
      <c r="L221" s="65"/>
    </row>
    <row r="222">
      <c r="A222" s="51" t="s">
        <v>51</v>
      </c>
      <c r="B222" s="52" t="s">
        <v>299</v>
      </c>
      <c r="C222" s="52" t="s">
        <v>327</v>
      </c>
      <c r="D222" s="53" t="s">
        <v>328</v>
      </c>
      <c r="E222" s="52"/>
      <c r="F222" s="54" t="s">
        <v>4</v>
      </c>
      <c r="G222" s="54" t="s">
        <v>4</v>
      </c>
      <c r="H222" s="55" t="s">
        <v>4</v>
      </c>
      <c r="I222" s="2">
        <f>SUM(I223:I223)</f>
      </c>
      <c r="J222" s="2">
        <f>SUM(J223:J223)</f>
      </c>
      <c r="K222" s="2">
        <f>SUM(K223:K223)</f>
      </c>
      <c r="L222" s="56" t="s">
        <v>51</v>
      </c>
      <c r="AI222" s="33" t="s">
        <v>299</v>
      </c>
      <c r="AS222" s="2">
        <f>SUM(AJ223:AJ223)</f>
      </c>
      <c r="AT222" s="2">
        <f>SUM(AK223:AK223)</f>
      </c>
      <c r="AU222" s="2">
        <f>SUM(AL223:AL223)</f>
      </c>
    </row>
    <row r="223">
      <c r="A223" s="10" t="s">
        <v>329</v>
      </c>
      <c r="B223" s="11" t="s">
        <v>299</v>
      </c>
      <c r="C223" s="11" t="s">
        <v>330</v>
      </c>
      <c r="D223" s="16" t="s">
        <v>331</v>
      </c>
      <c r="E223" s="11"/>
      <c r="F223" s="11" t="s">
        <v>207</v>
      </c>
      <c r="G223" s="57" t="n">
        <v>2</v>
      </c>
      <c r="H223" s="58" t="n">
        <v>0</v>
      </c>
      <c r="I223" s="57">
        <f>G223*AO223</f>
      </c>
      <c r="J223" s="57">
        <f>G223*AP223</f>
      </c>
      <c r="K223" s="57">
        <f>G223*H223</f>
      </c>
      <c r="L223" s="59" t="s">
        <v>60</v>
      </c>
      <c r="Z223" s="57">
        <f>IF(AQ223="5",BJ223,0)</f>
      </c>
      <c r="AB223" s="57">
        <f>IF(AQ223="1",BH223,0)</f>
      </c>
      <c r="AC223" s="57">
        <f>IF(AQ223="1",BI223,0)</f>
      </c>
      <c r="AD223" s="57">
        <f>IF(AQ223="7",BH223,0)</f>
      </c>
      <c r="AE223" s="57">
        <f>IF(AQ223="7",BI223,0)</f>
      </c>
      <c r="AF223" s="57">
        <f>IF(AQ223="2",BH223,0)</f>
      </c>
      <c r="AG223" s="57">
        <f>IF(AQ223="2",BI223,0)</f>
      </c>
      <c r="AH223" s="57">
        <f>IF(AQ223="0",BJ223,0)</f>
      </c>
      <c r="AI223" s="33" t="s">
        <v>299</v>
      </c>
      <c r="AJ223" s="57">
        <f>IF(AN223=0,K223,0)</f>
      </c>
      <c r="AK223" s="57">
        <f>IF(AN223=12,K223,0)</f>
      </c>
      <c r="AL223" s="57">
        <f>IF(AN223=21,K223,0)</f>
      </c>
      <c r="AN223" s="57" t="n">
        <v>21</v>
      </c>
      <c r="AO223" s="57">
        <f>H223*0.338885802</f>
      </c>
      <c r="AP223" s="57">
        <f>H223*(1-0.338885802)</f>
      </c>
      <c r="AQ223" s="60" t="s">
        <v>56</v>
      </c>
      <c r="AV223" s="57">
        <f>AW223+AX223</f>
      </c>
      <c r="AW223" s="57">
        <f>G223*AO223</f>
      </c>
      <c r="AX223" s="57">
        <f>G223*AP223</f>
      </c>
      <c r="AY223" s="60" t="s">
        <v>332</v>
      </c>
      <c r="AZ223" s="60" t="s">
        <v>333</v>
      </c>
      <c r="BA223" s="33" t="s">
        <v>303</v>
      </c>
      <c r="BC223" s="57">
        <f>AW223+AX223</f>
      </c>
      <c r="BD223" s="57">
        <f>H223/(100-BE223)*100</f>
      </c>
      <c r="BE223" s="57" t="n">
        <v>0</v>
      </c>
      <c r="BF223" s="57">
        <f>223</f>
      </c>
      <c r="BH223" s="57">
        <f>G223*AO223</f>
      </c>
      <c r="BI223" s="57">
        <f>G223*AP223</f>
      </c>
      <c r="BJ223" s="57">
        <f>G223*H223</f>
      </c>
      <c r="BK223" s="57"/>
      <c r="BL223" s="57" t="n">
        <v>89</v>
      </c>
      <c r="BW223" s="57" t="n">
        <v>21</v>
      </c>
      <c r="BX223" s="16" t="s">
        <v>331</v>
      </c>
    </row>
    <row r="224">
      <c r="A224" s="51" t="s">
        <v>51</v>
      </c>
      <c r="B224" s="52" t="s">
        <v>299</v>
      </c>
      <c r="C224" s="52" t="s">
        <v>151</v>
      </c>
      <c r="D224" s="53" t="s">
        <v>152</v>
      </c>
      <c r="E224" s="52"/>
      <c r="F224" s="54" t="s">
        <v>4</v>
      </c>
      <c r="G224" s="54" t="s">
        <v>4</v>
      </c>
      <c r="H224" s="55" t="s">
        <v>4</v>
      </c>
      <c r="I224" s="2">
        <f>SUM(I225:I227)</f>
      </c>
      <c r="J224" s="2">
        <f>SUM(J225:J227)</f>
      </c>
      <c r="K224" s="2">
        <f>SUM(K225:K227)</f>
      </c>
      <c r="L224" s="56" t="s">
        <v>51</v>
      </c>
      <c r="AI224" s="33" t="s">
        <v>299</v>
      </c>
      <c r="AS224" s="2">
        <f>SUM(AJ225:AJ227)</f>
      </c>
      <c r="AT224" s="2">
        <f>SUM(AK225:AK227)</f>
      </c>
      <c r="AU224" s="2">
        <f>SUM(AL225:AL227)</f>
      </c>
    </row>
    <row r="225" ht="24.75">
      <c r="A225" s="10" t="s">
        <v>334</v>
      </c>
      <c r="B225" s="11" t="s">
        <v>299</v>
      </c>
      <c r="C225" s="11" t="s">
        <v>264</v>
      </c>
      <c r="D225" s="16" t="s">
        <v>265</v>
      </c>
      <c r="E225" s="11"/>
      <c r="F225" s="11" t="s">
        <v>68</v>
      </c>
      <c r="G225" s="57" t="n">
        <v>11</v>
      </c>
      <c r="H225" s="58" t="n">
        <v>0</v>
      </c>
      <c r="I225" s="57">
        <f>G225*AO225</f>
      </c>
      <c r="J225" s="57">
        <f>G225*AP225</f>
      </c>
      <c r="K225" s="57">
        <f>G225*H225</f>
      </c>
      <c r="L225" s="59" t="s">
        <v>60</v>
      </c>
      <c r="Z225" s="57">
        <f>IF(AQ225="5",BJ225,0)</f>
      </c>
      <c r="AB225" s="57">
        <f>IF(AQ225="1",BH225,0)</f>
      </c>
      <c r="AC225" s="57">
        <f>IF(AQ225="1",BI225,0)</f>
      </c>
      <c r="AD225" s="57">
        <f>IF(AQ225="7",BH225,0)</f>
      </c>
      <c r="AE225" s="57">
        <f>IF(AQ225="7",BI225,0)</f>
      </c>
      <c r="AF225" s="57">
        <f>IF(AQ225="2",BH225,0)</f>
      </c>
      <c r="AG225" s="57">
        <f>IF(AQ225="2",BI225,0)</f>
      </c>
      <c r="AH225" s="57">
        <f>IF(AQ225="0",BJ225,0)</f>
      </c>
      <c r="AI225" s="33" t="s">
        <v>299</v>
      </c>
      <c r="AJ225" s="57">
        <f>IF(AN225=0,K225,0)</f>
      </c>
      <c r="AK225" s="57">
        <f>IF(AN225=12,K225,0)</f>
      </c>
      <c r="AL225" s="57">
        <f>IF(AN225=21,K225,0)</f>
      </c>
      <c r="AN225" s="57" t="n">
        <v>21</v>
      </c>
      <c r="AO225" s="57">
        <f>H225*0.566389776</f>
      </c>
      <c r="AP225" s="57">
        <f>H225*(1-0.566389776)</f>
      </c>
      <c r="AQ225" s="60" t="s">
        <v>56</v>
      </c>
      <c r="AV225" s="57">
        <f>AW225+AX225</f>
      </c>
      <c r="AW225" s="57">
        <f>G225*AO225</f>
      </c>
      <c r="AX225" s="57">
        <f>G225*AP225</f>
      </c>
      <c r="AY225" s="60" t="s">
        <v>155</v>
      </c>
      <c r="AZ225" s="60" t="s">
        <v>335</v>
      </c>
      <c r="BA225" s="33" t="s">
        <v>303</v>
      </c>
      <c r="BC225" s="57">
        <f>AW225+AX225</f>
      </c>
      <c r="BD225" s="57">
        <f>H225/(100-BE225)*100</f>
      </c>
      <c r="BE225" s="57" t="n">
        <v>0</v>
      </c>
      <c r="BF225" s="57">
        <f>225</f>
      </c>
      <c r="BH225" s="57">
        <f>G225*AO225</f>
      </c>
      <c r="BI225" s="57">
        <f>G225*AP225</f>
      </c>
      <c r="BJ225" s="57">
        <f>G225*H225</f>
      </c>
      <c r="BK225" s="57"/>
      <c r="BL225" s="57" t="n">
        <v>91</v>
      </c>
      <c r="BW225" s="57" t="n">
        <v>21</v>
      </c>
      <c r="BX225" s="16" t="s">
        <v>265</v>
      </c>
    </row>
    <row r="226" customHeight="true" ht="13.5">
      <c r="A226" s="61"/>
      <c r="C226" s="66" t="s">
        <v>69</v>
      </c>
      <c r="D226" s="67" t="s">
        <v>267</v>
      </c>
      <c r="E226" s="68"/>
      <c r="F226" s="68"/>
      <c r="G226" s="68"/>
      <c r="H226" s="69"/>
      <c r="I226" s="68"/>
      <c r="J226" s="68"/>
      <c r="K226" s="68"/>
      <c r="L226" s="70"/>
    </row>
    <row r="227" ht="24.75">
      <c r="A227" s="10" t="s">
        <v>336</v>
      </c>
      <c r="B227" s="11" t="s">
        <v>299</v>
      </c>
      <c r="C227" s="11" t="s">
        <v>153</v>
      </c>
      <c r="D227" s="16" t="s">
        <v>154</v>
      </c>
      <c r="E227" s="11"/>
      <c r="F227" s="11" t="s">
        <v>68</v>
      </c>
      <c r="G227" s="57" t="n">
        <v>40</v>
      </c>
      <c r="H227" s="58" t="n">
        <v>0</v>
      </c>
      <c r="I227" s="57">
        <f>G227*AO227</f>
      </c>
      <c r="J227" s="57">
        <f>G227*AP227</f>
      </c>
      <c r="K227" s="57">
        <f>G227*H227</f>
      </c>
      <c r="L227" s="59" t="s">
        <v>60</v>
      </c>
      <c r="Z227" s="57">
        <f>IF(AQ227="5",BJ227,0)</f>
      </c>
      <c r="AB227" s="57">
        <f>IF(AQ227="1",BH227,0)</f>
      </c>
      <c r="AC227" s="57">
        <f>IF(AQ227="1",BI227,0)</f>
      </c>
      <c r="AD227" s="57">
        <f>IF(AQ227="7",BH227,0)</f>
      </c>
      <c r="AE227" s="57">
        <f>IF(AQ227="7",BI227,0)</f>
      </c>
      <c r="AF227" s="57">
        <f>IF(AQ227="2",BH227,0)</f>
      </c>
      <c r="AG227" s="57">
        <f>IF(AQ227="2",BI227,0)</f>
      </c>
      <c r="AH227" s="57">
        <f>IF(AQ227="0",BJ227,0)</f>
      </c>
      <c r="AI227" s="33" t="s">
        <v>299</v>
      </c>
      <c r="AJ227" s="57">
        <f>IF(AN227=0,K227,0)</f>
      </c>
      <c r="AK227" s="57">
        <f>IF(AN227=12,K227,0)</f>
      </c>
      <c r="AL227" s="57">
        <f>IF(AN227=21,K227,0)</f>
      </c>
      <c r="AN227" s="57" t="n">
        <v>21</v>
      </c>
      <c r="AO227" s="57">
        <f>H227*0.572010376</f>
      </c>
      <c r="AP227" s="57">
        <f>H227*(1-0.572010376)</f>
      </c>
      <c r="AQ227" s="60" t="s">
        <v>56</v>
      </c>
      <c r="AV227" s="57">
        <f>AW227+AX227</f>
      </c>
      <c r="AW227" s="57">
        <f>G227*AO227</f>
      </c>
      <c r="AX227" s="57">
        <f>G227*AP227</f>
      </c>
      <c r="AY227" s="60" t="s">
        <v>155</v>
      </c>
      <c r="AZ227" s="60" t="s">
        <v>335</v>
      </c>
      <c r="BA227" s="33" t="s">
        <v>303</v>
      </c>
      <c r="BC227" s="57">
        <f>AW227+AX227</f>
      </c>
      <c r="BD227" s="57">
        <f>H227/(100-BE227)*100</f>
      </c>
      <c r="BE227" s="57" t="n">
        <v>0</v>
      </c>
      <c r="BF227" s="57">
        <f>227</f>
      </c>
      <c r="BH227" s="57">
        <f>G227*AO227</f>
      </c>
      <c r="BI227" s="57">
        <f>G227*AP227</f>
      </c>
      <c r="BJ227" s="57">
        <f>G227*H227</f>
      </c>
      <c r="BK227" s="57"/>
      <c r="BL227" s="57" t="n">
        <v>91</v>
      </c>
      <c r="BW227" s="57" t="n">
        <v>21</v>
      </c>
      <c r="BX227" s="16" t="s">
        <v>154</v>
      </c>
    </row>
    <row r="228">
      <c r="A228" s="61"/>
      <c r="D228" s="62" t="s">
        <v>337</v>
      </c>
      <c r="E228" s="63" t="s">
        <v>51</v>
      </c>
      <c r="G228" s="64" t="n">
        <v>40</v>
      </c>
      <c r="L228" s="65"/>
    </row>
    <row r="229" customHeight="true" ht="27">
      <c r="A229" s="61"/>
      <c r="C229" s="71" t="s">
        <v>87</v>
      </c>
      <c r="D229" s="72" t="s">
        <v>338</v>
      </c>
      <c r="E229" s="73"/>
      <c r="F229" s="73"/>
      <c r="G229" s="73"/>
      <c r="H229" s="74"/>
      <c r="I229" s="73"/>
      <c r="J229" s="73"/>
      <c r="K229" s="73"/>
      <c r="L229" s="75"/>
    </row>
    <row r="230">
      <c r="A230" s="51" t="s">
        <v>51</v>
      </c>
      <c r="B230" s="52" t="s">
        <v>299</v>
      </c>
      <c r="C230" s="52" t="s">
        <v>159</v>
      </c>
      <c r="D230" s="53" t="s">
        <v>160</v>
      </c>
      <c r="E230" s="52"/>
      <c r="F230" s="54" t="s">
        <v>4</v>
      </c>
      <c r="G230" s="54" t="s">
        <v>4</v>
      </c>
      <c r="H230" s="55" t="s">
        <v>4</v>
      </c>
      <c r="I230" s="2">
        <f>SUM(I231:I231)</f>
      </c>
      <c r="J230" s="2">
        <f>SUM(J231:J231)</f>
      </c>
      <c r="K230" s="2">
        <f>SUM(K231:K231)</f>
      </c>
      <c r="L230" s="56" t="s">
        <v>51</v>
      </c>
      <c r="AI230" s="33" t="s">
        <v>299</v>
      </c>
      <c r="AS230" s="2">
        <f>SUM(AJ231:AJ231)</f>
      </c>
      <c r="AT230" s="2">
        <f>SUM(AK231:AK231)</f>
      </c>
      <c r="AU230" s="2">
        <f>SUM(AL231:AL231)</f>
      </c>
    </row>
    <row r="231">
      <c r="A231" s="10" t="s">
        <v>339</v>
      </c>
      <c r="B231" s="11" t="s">
        <v>299</v>
      </c>
      <c r="C231" s="11" t="s">
        <v>162</v>
      </c>
      <c r="D231" s="16" t="s">
        <v>163</v>
      </c>
      <c r="E231" s="11"/>
      <c r="F231" s="11" t="s">
        <v>164</v>
      </c>
      <c r="G231" s="57" t="n">
        <v>265.9</v>
      </c>
      <c r="H231" s="58" t="n">
        <v>0</v>
      </c>
      <c r="I231" s="57">
        <f>G231*AO231</f>
      </c>
      <c r="J231" s="57">
        <f>G231*AP231</f>
      </c>
      <c r="K231" s="57">
        <f>G231*H231</f>
      </c>
      <c r="L231" s="59" t="s">
        <v>60</v>
      </c>
      <c r="Z231" s="57">
        <f>IF(AQ231="5",BJ231,0)</f>
      </c>
      <c r="AB231" s="57">
        <f>IF(AQ231="1",BH231,0)</f>
      </c>
      <c r="AC231" s="57">
        <f>IF(AQ231="1",BI231,0)</f>
      </c>
      <c r="AD231" s="57">
        <f>IF(AQ231="7",BH231,0)</f>
      </c>
      <c r="AE231" s="57">
        <f>IF(AQ231="7",BI231,0)</f>
      </c>
      <c r="AF231" s="57">
        <f>IF(AQ231="2",BH231,0)</f>
      </c>
      <c r="AG231" s="57">
        <f>IF(AQ231="2",BI231,0)</f>
      </c>
      <c r="AH231" s="57">
        <f>IF(AQ231="0",BJ231,0)</f>
      </c>
      <c r="AI231" s="33" t="s">
        <v>299</v>
      </c>
      <c r="AJ231" s="57">
        <f>IF(AN231=0,K231,0)</f>
      </c>
      <c r="AK231" s="57">
        <f>IF(AN231=12,K231,0)</f>
      </c>
      <c r="AL231" s="57">
        <f>IF(AN231=21,K231,0)</f>
      </c>
      <c r="AN231" s="57" t="n">
        <v>21</v>
      </c>
      <c r="AO231" s="57">
        <f>H231*0</f>
      </c>
      <c r="AP231" s="57">
        <f>H231*(1-0)</f>
      </c>
      <c r="AQ231" s="60" t="s">
        <v>89</v>
      </c>
      <c r="AV231" s="57">
        <f>AW231+AX231</f>
      </c>
      <c r="AW231" s="57">
        <f>G231*AO231</f>
      </c>
      <c r="AX231" s="57">
        <f>G231*AP231</f>
      </c>
      <c r="AY231" s="60" t="s">
        <v>165</v>
      </c>
      <c r="AZ231" s="60" t="s">
        <v>335</v>
      </c>
      <c r="BA231" s="33" t="s">
        <v>303</v>
      </c>
      <c r="BC231" s="57">
        <f>AW231+AX231</f>
      </c>
      <c r="BD231" s="57">
        <f>H231/(100-BE231)*100</f>
      </c>
      <c r="BE231" s="57" t="n">
        <v>0</v>
      </c>
      <c r="BF231" s="57">
        <f>231</f>
      </c>
      <c r="BH231" s="57">
        <f>G231*AO231</f>
      </c>
      <c r="BI231" s="57">
        <f>G231*AP231</f>
      </c>
      <c r="BJ231" s="57">
        <f>G231*H231</f>
      </c>
      <c r="BK231" s="57"/>
      <c r="BL231" s="57"/>
      <c r="BW231" s="57" t="n">
        <v>21</v>
      </c>
      <c r="BX231" s="16" t="s">
        <v>163</v>
      </c>
    </row>
    <row r="232">
      <c r="A232" s="61"/>
      <c r="D232" s="62" t="s">
        <v>340</v>
      </c>
      <c r="E232" s="63" t="s">
        <v>51</v>
      </c>
      <c r="G232" s="64" t="n">
        <v>265.9</v>
      </c>
      <c r="L232" s="65"/>
    </row>
    <row r="233">
      <c r="A233" s="51" t="s">
        <v>51</v>
      </c>
      <c r="B233" s="52" t="s">
        <v>299</v>
      </c>
      <c r="C233" s="52" t="s">
        <v>167</v>
      </c>
      <c r="D233" s="53" t="s">
        <v>168</v>
      </c>
      <c r="E233" s="52"/>
      <c r="F233" s="54" t="s">
        <v>4</v>
      </c>
      <c r="G233" s="54" t="s">
        <v>4</v>
      </c>
      <c r="H233" s="55" t="s">
        <v>4</v>
      </c>
      <c r="I233" s="2">
        <f>SUM(I234:I238)</f>
      </c>
      <c r="J233" s="2">
        <f>SUM(J234:J238)</f>
      </c>
      <c r="K233" s="2">
        <f>SUM(K234:K238)</f>
      </c>
      <c r="L233" s="56" t="s">
        <v>51</v>
      </c>
      <c r="AI233" s="33" t="s">
        <v>299</v>
      </c>
      <c r="AS233" s="2">
        <f>SUM(AJ234:AJ238)</f>
      </c>
      <c r="AT233" s="2">
        <f>SUM(AK234:AK238)</f>
      </c>
      <c r="AU233" s="2">
        <f>SUM(AL234:AL238)</f>
      </c>
    </row>
    <row r="234">
      <c r="A234" s="10" t="s">
        <v>341</v>
      </c>
      <c r="B234" s="11" t="s">
        <v>299</v>
      </c>
      <c r="C234" s="11" t="s">
        <v>170</v>
      </c>
      <c r="D234" s="16" t="s">
        <v>171</v>
      </c>
      <c r="E234" s="11"/>
      <c r="F234" s="11" t="s">
        <v>164</v>
      </c>
      <c r="G234" s="57" t="n">
        <v>195.8</v>
      </c>
      <c r="H234" s="58" t="n">
        <v>0</v>
      </c>
      <c r="I234" s="57">
        <f>G234*AO234</f>
      </c>
      <c r="J234" s="57">
        <f>G234*AP234</f>
      </c>
      <c r="K234" s="57">
        <f>G234*H234</f>
      </c>
      <c r="L234" s="59" t="s">
        <v>60</v>
      </c>
      <c r="Z234" s="57">
        <f>IF(AQ234="5",BJ234,0)</f>
      </c>
      <c r="AB234" s="57">
        <f>IF(AQ234="1",BH234,0)</f>
      </c>
      <c r="AC234" s="57">
        <f>IF(AQ234="1",BI234,0)</f>
      </c>
      <c r="AD234" s="57">
        <f>IF(AQ234="7",BH234,0)</f>
      </c>
      <c r="AE234" s="57">
        <f>IF(AQ234="7",BI234,0)</f>
      </c>
      <c r="AF234" s="57">
        <f>IF(AQ234="2",BH234,0)</f>
      </c>
      <c r="AG234" s="57">
        <f>IF(AQ234="2",BI234,0)</f>
      </c>
      <c r="AH234" s="57">
        <f>IF(AQ234="0",BJ234,0)</f>
      </c>
      <c r="AI234" s="33" t="s">
        <v>299</v>
      </c>
      <c r="AJ234" s="57">
        <f>IF(AN234=0,K234,0)</f>
      </c>
      <c r="AK234" s="57">
        <f>IF(AN234=12,K234,0)</f>
      </c>
      <c r="AL234" s="57">
        <f>IF(AN234=21,K234,0)</f>
      </c>
      <c r="AN234" s="57" t="n">
        <v>21</v>
      </c>
      <c r="AO234" s="57">
        <f>H234*0</f>
      </c>
      <c r="AP234" s="57">
        <f>H234*(1-0)</f>
      </c>
      <c r="AQ234" s="60" t="s">
        <v>89</v>
      </c>
      <c r="AV234" s="57">
        <f>AW234+AX234</f>
      </c>
      <c r="AW234" s="57">
        <f>G234*AO234</f>
      </c>
      <c r="AX234" s="57">
        <f>G234*AP234</f>
      </c>
      <c r="AY234" s="60" t="s">
        <v>172</v>
      </c>
      <c r="AZ234" s="60" t="s">
        <v>335</v>
      </c>
      <c r="BA234" s="33" t="s">
        <v>303</v>
      </c>
      <c r="BC234" s="57">
        <f>AW234+AX234</f>
      </c>
      <c r="BD234" s="57">
        <f>H234/(100-BE234)*100</f>
      </c>
      <c r="BE234" s="57" t="n">
        <v>0</v>
      </c>
      <c r="BF234" s="57">
        <f>234</f>
      </c>
      <c r="BH234" s="57">
        <f>G234*AO234</f>
      </c>
      <c r="BI234" s="57">
        <f>G234*AP234</f>
      </c>
      <c r="BJ234" s="57">
        <f>G234*H234</f>
      </c>
      <c r="BK234" s="57"/>
      <c r="BL234" s="57"/>
      <c r="BW234" s="57" t="n">
        <v>21</v>
      </c>
      <c r="BX234" s="16" t="s">
        <v>171</v>
      </c>
    </row>
    <row r="235">
      <c r="A235" s="10" t="s">
        <v>342</v>
      </c>
      <c r="B235" s="11" t="s">
        <v>299</v>
      </c>
      <c r="C235" s="11" t="s">
        <v>174</v>
      </c>
      <c r="D235" s="16" t="s">
        <v>175</v>
      </c>
      <c r="E235" s="11"/>
      <c r="F235" s="11" t="s">
        <v>164</v>
      </c>
      <c r="G235" s="57" t="n">
        <v>1762.2</v>
      </c>
      <c r="H235" s="58" t="n">
        <v>0</v>
      </c>
      <c r="I235" s="57">
        <f>G235*AO235</f>
      </c>
      <c r="J235" s="57">
        <f>G235*AP235</f>
      </c>
      <c r="K235" s="57">
        <f>G235*H235</f>
      </c>
      <c r="L235" s="59" t="s">
        <v>60</v>
      </c>
      <c r="Z235" s="57">
        <f>IF(AQ235="5",BJ235,0)</f>
      </c>
      <c r="AB235" s="57">
        <f>IF(AQ235="1",BH235,0)</f>
      </c>
      <c r="AC235" s="57">
        <f>IF(AQ235="1",BI235,0)</f>
      </c>
      <c r="AD235" s="57">
        <f>IF(AQ235="7",BH235,0)</f>
      </c>
      <c r="AE235" s="57">
        <f>IF(AQ235="7",BI235,0)</f>
      </c>
      <c r="AF235" s="57">
        <f>IF(AQ235="2",BH235,0)</f>
      </c>
      <c r="AG235" s="57">
        <f>IF(AQ235="2",BI235,0)</f>
      </c>
      <c r="AH235" s="57">
        <f>IF(AQ235="0",BJ235,0)</f>
      </c>
      <c r="AI235" s="33" t="s">
        <v>299</v>
      </c>
      <c r="AJ235" s="57">
        <f>IF(AN235=0,K235,0)</f>
      </c>
      <c r="AK235" s="57">
        <f>IF(AN235=12,K235,0)</f>
      </c>
      <c r="AL235" s="57">
        <f>IF(AN235=21,K235,0)</f>
      </c>
      <c r="AN235" s="57" t="n">
        <v>21</v>
      </c>
      <c r="AO235" s="57">
        <f>H235*0</f>
      </c>
      <c r="AP235" s="57">
        <f>H235*(1-0)</f>
      </c>
      <c r="AQ235" s="60" t="s">
        <v>89</v>
      </c>
      <c r="AV235" s="57">
        <f>AW235+AX235</f>
      </c>
      <c r="AW235" s="57">
        <f>G235*AO235</f>
      </c>
      <c r="AX235" s="57">
        <f>G235*AP235</f>
      </c>
      <c r="AY235" s="60" t="s">
        <v>172</v>
      </c>
      <c r="AZ235" s="60" t="s">
        <v>335</v>
      </c>
      <c r="BA235" s="33" t="s">
        <v>303</v>
      </c>
      <c r="BC235" s="57">
        <f>AW235+AX235</f>
      </c>
      <c r="BD235" s="57">
        <f>H235/(100-BE235)*100</f>
      </c>
      <c r="BE235" s="57" t="n">
        <v>0</v>
      </c>
      <c r="BF235" s="57">
        <f>235</f>
      </c>
      <c r="BH235" s="57">
        <f>G235*AO235</f>
      </c>
      <c r="BI235" s="57">
        <f>G235*AP235</f>
      </c>
      <c r="BJ235" s="57">
        <f>G235*H235</f>
      </c>
      <c r="BK235" s="57"/>
      <c r="BL235" s="57"/>
      <c r="BW235" s="57" t="n">
        <v>21</v>
      </c>
      <c r="BX235" s="16" t="s">
        <v>175</v>
      </c>
    </row>
    <row r="236">
      <c r="A236" s="61"/>
      <c r="D236" s="62" t="s">
        <v>343</v>
      </c>
      <c r="E236" s="63" t="s">
        <v>51</v>
      </c>
      <c r="G236" s="64" t="n">
        <v>1762.2</v>
      </c>
      <c r="L236" s="65"/>
    </row>
    <row r="237" customHeight="true" ht="13.5">
      <c r="A237" s="61"/>
      <c r="C237" s="71" t="s">
        <v>87</v>
      </c>
      <c r="D237" s="72" t="s">
        <v>177</v>
      </c>
      <c r="E237" s="73"/>
      <c r="F237" s="73"/>
      <c r="G237" s="73"/>
      <c r="H237" s="74"/>
      <c r="I237" s="73"/>
      <c r="J237" s="73"/>
      <c r="K237" s="73"/>
      <c r="L237" s="75"/>
    </row>
    <row r="238">
      <c r="A238" s="10" t="s">
        <v>344</v>
      </c>
      <c r="B238" s="11" t="s">
        <v>299</v>
      </c>
      <c r="C238" s="11" t="s">
        <v>187</v>
      </c>
      <c r="D238" s="16" t="s">
        <v>280</v>
      </c>
      <c r="E238" s="11"/>
      <c r="F238" s="11" t="s">
        <v>164</v>
      </c>
      <c r="G238" s="57" t="n">
        <v>195.8</v>
      </c>
      <c r="H238" s="58" t="n">
        <v>0</v>
      </c>
      <c r="I238" s="57">
        <f>G238*AO238</f>
      </c>
      <c r="J238" s="57">
        <f>G238*AP238</f>
      </c>
      <c r="K238" s="57">
        <f>G238*H238</f>
      </c>
      <c r="L238" s="59" t="s">
        <v>60</v>
      </c>
      <c r="Z238" s="57">
        <f>IF(AQ238="5",BJ238,0)</f>
      </c>
      <c r="AB238" s="57">
        <f>IF(AQ238="1",BH238,0)</f>
      </c>
      <c r="AC238" s="57">
        <f>IF(AQ238="1",BI238,0)</f>
      </c>
      <c r="AD238" s="57">
        <f>IF(AQ238="7",BH238,0)</f>
      </c>
      <c r="AE238" s="57">
        <f>IF(AQ238="7",BI238,0)</f>
      </c>
      <c r="AF238" s="57">
        <f>IF(AQ238="2",BH238,0)</f>
      </c>
      <c r="AG238" s="57">
        <f>IF(AQ238="2",BI238,0)</f>
      </c>
      <c r="AH238" s="57">
        <f>IF(AQ238="0",BJ238,0)</f>
      </c>
      <c r="AI238" s="33" t="s">
        <v>299</v>
      </c>
      <c r="AJ238" s="57">
        <f>IF(AN238=0,K238,0)</f>
      </c>
      <c r="AK238" s="57">
        <f>IF(AN238=12,K238,0)</f>
      </c>
      <c r="AL238" s="57">
        <f>IF(AN238=21,K238,0)</f>
      </c>
      <c r="AN238" s="57" t="n">
        <v>21</v>
      </c>
      <c r="AO238" s="57">
        <f>H238*0</f>
      </c>
      <c r="AP238" s="57">
        <f>H238*(1-0)</f>
      </c>
      <c r="AQ238" s="60" t="s">
        <v>89</v>
      </c>
      <c r="AV238" s="57">
        <f>AW238+AX238</f>
      </c>
      <c r="AW238" s="57">
        <f>G238*AO238</f>
      </c>
      <c r="AX238" s="57">
        <f>G238*AP238</f>
      </c>
      <c r="AY238" s="60" t="s">
        <v>172</v>
      </c>
      <c r="AZ238" s="60" t="s">
        <v>335</v>
      </c>
      <c r="BA238" s="33" t="s">
        <v>303</v>
      </c>
      <c r="BC238" s="57">
        <f>AW238+AX238</f>
      </c>
      <c r="BD238" s="57">
        <f>H238/(100-BE238)*100</f>
      </c>
      <c r="BE238" s="57" t="n">
        <v>0</v>
      </c>
      <c r="BF238" s="57">
        <f>238</f>
      </c>
      <c r="BH238" s="57">
        <f>G238*AO238</f>
      </c>
      <c r="BI238" s="57">
        <f>G238*AP238</f>
      </c>
      <c r="BJ238" s="57">
        <f>G238*H238</f>
      </c>
      <c r="BK238" s="57"/>
      <c r="BL238" s="57"/>
      <c r="BW238" s="57" t="n">
        <v>21</v>
      </c>
      <c r="BX238" s="16" t="s">
        <v>280</v>
      </c>
    </row>
    <row r="239" customHeight="true" ht="13.5">
      <c r="A239" s="61"/>
      <c r="C239" s="71" t="s">
        <v>87</v>
      </c>
      <c r="D239" s="72" t="s">
        <v>189</v>
      </c>
      <c r="E239" s="73"/>
      <c r="F239" s="73"/>
      <c r="G239" s="73"/>
      <c r="H239" s="74"/>
      <c r="I239" s="73"/>
      <c r="J239" s="73"/>
      <c r="K239" s="73"/>
      <c r="L239" s="75"/>
    </row>
    <row r="240">
      <c r="A240" s="51" t="s">
        <v>51</v>
      </c>
      <c r="B240" s="52" t="s">
        <v>299</v>
      </c>
      <c r="C240" s="52" t="s">
        <v>190</v>
      </c>
      <c r="D240" s="53" t="s">
        <v>191</v>
      </c>
      <c r="E240" s="52"/>
      <c r="F240" s="54" t="s">
        <v>4</v>
      </c>
      <c r="G240" s="54" t="s">
        <v>4</v>
      </c>
      <c r="H240" s="55" t="s">
        <v>4</v>
      </c>
      <c r="I240" s="2">
        <f>SUM(I241:I254)</f>
      </c>
      <c r="J240" s="2">
        <f>SUM(J241:J254)</f>
      </c>
      <c r="K240" s="2">
        <f>SUM(K241:K254)</f>
      </c>
      <c r="L240" s="56" t="s">
        <v>51</v>
      </c>
      <c r="AI240" s="33" t="s">
        <v>299</v>
      </c>
      <c r="AS240" s="2">
        <f>SUM(AJ241:AJ254)</f>
      </c>
      <c r="AT240" s="2">
        <f>SUM(AK241:AK254)</f>
      </c>
      <c r="AU240" s="2">
        <f>SUM(AL241:AL254)</f>
      </c>
    </row>
    <row r="241">
      <c r="A241" s="10" t="s">
        <v>345</v>
      </c>
      <c r="B241" s="11" t="s">
        <v>299</v>
      </c>
      <c r="C241" s="11" t="s">
        <v>193</v>
      </c>
      <c r="D241" s="16" t="s">
        <v>194</v>
      </c>
      <c r="E241" s="11"/>
      <c r="F241" s="11" t="s">
        <v>195</v>
      </c>
      <c r="G241" s="57" t="n">
        <v>1.2</v>
      </c>
      <c r="H241" s="58" t="n">
        <v>0</v>
      </c>
      <c r="I241" s="57">
        <f>G241*AO241</f>
      </c>
      <c r="J241" s="57">
        <f>G241*AP241</f>
      </c>
      <c r="K241" s="57">
        <f>G241*H241</f>
      </c>
      <c r="L241" s="59" t="s">
        <v>60</v>
      </c>
      <c r="Z241" s="57">
        <f>IF(AQ241="5",BJ241,0)</f>
      </c>
      <c r="AB241" s="57">
        <f>IF(AQ241="1",BH241,0)</f>
      </c>
      <c r="AC241" s="57">
        <f>IF(AQ241="1",BI241,0)</f>
      </c>
      <c r="AD241" s="57">
        <f>IF(AQ241="7",BH241,0)</f>
      </c>
      <c r="AE241" s="57">
        <f>IF(AQ241="7",BI241,0)</f>
      </c>
      <c r="AF241" s="57">
        <f>IF(AQ241="2",BH241,0)</f>
      </c>
      <c r="AG241" s="57">
        <f>IF(AQ241="2",BI241,0)</f>
      </c>
      <c r="AH241" s="57">
        <f>IF(AQ241="0",BJ241,0)</f>
      </c>
      <c r="AI241" s="33" t="s">
        <v>299</v>
      </c>
      <c r="AJ241" s="57">
        <f>IF(AN241=0,K241,0)</f>
      </c>
      <c r="AK241" s="57">
        <f>IF(AN241=12,K241,0)</f>
      </c>
      <c r="AL241" s="57">
        <f>IF(AN241=21,K241,0)</f>
      </c>
      <c r="AN241" s="57" t="n">
        <v>21</v>
      </c>
      <c r="AO241" s="57">
        <f>H241*1</f>
      </c>
      <c r="AP241" s="57">
        <f>H241*(1-1)</f>
      </c>
      <c r="AQ241" s="60" t="s">
        <v>196</v>
      </c>
      <c r="AV241" s="57">
        <f>AW241+AX241</f>
      </c>
      <c r="AW241" s="57">
        <f>G241*AO241</f>
      </c>
      <c r="AX241" s="57">
        <f>G241*AP241</f>
      </c>
      <c r="AY241" s="60" t="s">
        <v>197</v>
      </c>
      <c r="AZ241" s="60" t="s">
        <v>346</v>
      </c>
      <c r="BA241" s="33" t="s">
        <v>303</v>
      </c>
      <c r="BC241" s="57">
        <f>AW241+AX241</f>
      </c>
      <c r="BD241" s="57">
        <f>H241/(100-BE241)*100</f>
      </c>
      <c r="BE241" s="57" t="n">
        <v>0</v>
      </c>
      <c r="BF241" s="57">
        <f>241</f>
      </c>
      <c r="BH241" s="57">
        <f>G241*AO241</f>
      </c>
      <c r="BI241" s="57">
        <f>G241*AP241</f>
      </c>
      <c r="BJ241" s="57">
        <f>G241*H241</f>
      </c>
      <c r="BK241" s="57"/>
      <c r="BL241" s="57"/>
      <c r="BW241" s="57" t="n">
        <v>21</v>
      </c>
      <c r="BX241" s="16" t="s">
        <v>194</v>
      </c>
    </row>
    <row r="242">
      <c r="A242" s="61"/>
      <c r="D242" s="62" t="s">
        <v>347</v>
      </c>
      <c r="E242" s="63" t="s">
        <v>51</v>
      </c>
      <c r="G242" s="64" t="n">
        <v>1.2</v>
      </c>
      <c r="L242" s="65"/>
    </row>
    <row r="243">
      <c r="A243" s="10" t="s">
        <v>348</v>
      </c>
      <c r="B243" s="11" t="s">
        <v>299</v>
      </c>
      <c r="C243" s="11" t="s">
        <v>201</v>
      </c>
      <c r="D243" s="16" t="s">
        <v>202</v>
      </c>
      <c r="E243" s="11"/>
      <c r="F243" s="11" t="s">
        <v>164</v>
      </c>
      <c r="G243" s="57" t="n">
        <v>21.85</v>
      </c>
      <c r="H243" s="58" t="n">
        <v>0</v>
      </c>
      <c r="I243" s="57">
        <f>G243*AO243</f>
      </c>
      <c r="J243" s="57">
        <f>G243*AP243</f>
      </c>
      <c r="K243" s="57">
        <f>G243*H243</f>
      </c>
      <c r="L243" s="59" t="s">
        <v>60</v>
      </c>
      <c r="Z243" s="57">
        <f>IF(AQ243="5",BJ243,0)</f>
      </c>
      <c r="AB243" s="57">
        <f>IF(AQ243="1",BH243,0)</f>
      </c>
      <c r="AC243" s="57">
        <f>IF(AQ243="1",BI243,0)</f>
      </c>
      <c r="AD243" s="57">
        <f>IF(AQ243="7",BH243,0)</f>
      </c>
      <c r="AE243" s="57">
        <f>IF(AQ243="7",BI243,0)</f>
      </c>
      <c r="AF243" s="57">
        <f>IF(AQ243="2",BH243,0)</f>
      </c>
      <c r="AG243" s="57">
        <f>IF(AQ243="2",BI243,0)</f>
      </c>
      <c r="AH243" s="57">
        <f>IF(AQ243="0",BJ243,0)</f>
      </c>
      <c r="AI243" s="33" t="s">
        <v>299</v>
      </c>
      <c r="AJ243" s="57">
        <f>IF(AN243=0,K243,0)</f>
      </c>
      <c r="AK243" s="57">
        <f>IF(AN243=12,K243,0)</f>
      </c>
      <c r="AL243" s="57">
        <f>IF(AN243=21,K243,0)</f>
      </c>
      <c r="AN243" s="57" t="n">
        <v>21</v>
      </c>
      <c r="AO243" s="57">
        <f>H243*1</f>
      </c>
      <c r="AP243" s="57">
        <f>H243*(1-1)</f>
      </c>
      <c r="AQ243" s="60" t="s">
        <v>196</v>
      </c>
      <c r="AV243" s="57">
        <f>AW243+AX243</f>
      </c>
      <c r="AW243" s="57">
        <f>G243*AO243</f>
      </c>
      <c r="AX243" s="57">
        <f>G243*AP243</f>
      </c>
      <c r="AY243" s="60" t="s">
        <v>197</v>
      </c>
      <c r="AZ243" s="60" t="s">
        <v>346</v>
      </c>
      <c r="BA243" s="33" t="s">
        <v>303</v>
      </c>
      <c r="BC243" s="57">
        <f>AW243+AX243</f>
      </c>
      <c r="BD243" s="57">
        <f>H243/(100-BE243)*100</f>
      </c>
      <c r="BE243" s="57" t="n">
        <v>0</v>
      </c>
      <c r="BF243" s="57">
        <f>243</f>
      </c>
      <c r="BH243" s="57">
        <f>G243*AO243</f>
      </c>
      <c r="BI243" s="57">
        <f>G243*AP243</f>
      </c>
      <c r="BJ243" s="57">
        <f>G243*H243</f>
      </c>
      <c r="BK243" s="57"/>
      <c r="BL243" s="57"/>
      <c r="BW243" s="57" t="n">
        <v>21</v>
      </c>
      <c r="BX243" s="16" t="s">
        <v>202</v>
      </c>
    </row>
    <row r="244">
      <c r="A244" s="61"/>
      <c r="D244" s="62" t="s">
        <v>349</v>
      </c>
      <c r="E244" s="63" t="s">
        <v>51</v>
      </c>
      <c r="G244" s="64" t="n">
        <v>21.85</v>
      </c>
      <c r="L244" s="65"/>
    </row>
    <row r="245">
      <c r="A245" s="10" t="s">
        <v>350</v>
      </c>
      <c r="B245" s="11" t="s">
        <v>299</v>
      </c>
      <c r="C245" s="11" t="s">
        <v>205</v>
      </c>
      <c r="D245" s="16" t="s">
        <v>206</v>
      </c>
      <c r="E245" s="11"/>
      <c r="F245" s="11" t="s">
        <v>207</v>
      </c>
      <c r="G245" s="57" t="n">
        <v>30.6</v>
      </c>
      <c r="H245" s="58" t="n">
        <v>0</v>
      </c>
      <c r="I245" s="57">
        <f>G245*AO245</f>
      </c>
      <c r="J245" s="57">
        <f>G245*AP245</f>
      </c>
      <c r="K245" s="57">
        <f>G245*H245</f>
      </c>
      <c r="L245" s="59" t="s">
        <v>60</v>
      </c>
      <c r="Z245" s="57">
        <f>IF(AQ245="5",BJ245,0)</f>
      </c>
      <c r="AB245" s="57">
        <f>IF(AQ245="1",BH245,0)</f>
      </c>
      <c r="AC245" s="57">
        <f>IF(AQ245="1",BI245,0)</f>
      </c>
      <c r="AD245" s="57">
        <f>IF(AQ245="7",BH245,0)</f>
      </c>
      <c r="AE245" s="57">
        <f>IF(AQ245="7",BI245,0)</f>
      </c>
      <c r="AF245" s="57">
        <f>IF(AQ245="2",BH245,0)</f>
      </c>
      <c r="AG245" s="57">
        <f>IF(AQ245="2",BI245,0)</f>
      </c>
      <c r="AH245" s="57">
        <f>IF(AQ245="0",BJ245,0)</f>
      </c>
      <c r="AI245" s="33" t="s">
        <v>299</v>
      </c>
      <c r="AJ245" s="57">
        <f>IF(AN245=0,K245,0)</f>
      </c>
      <c r="AK245" s="57">
        <f>IF(AN245=12,K245,0)</f>
      </c>
      <c r="AL245" s="57">
        <f>IF(AN245=21,K245,0)</f>
      </c>
      <c r="AN245" s="57" t="n">
        <v>21</v>
      </c>
      <c r="AO245" s="57">
        <f>H245*1</f>
      </c>
      <c r="AP245" s="57">
        <f>H245*(1-1)</f>
      </c>
      <c r="AQ245" s="60" t="s">
        <v>196</v>
      </c>
      <c r="AV245" s="57">
        <f>AW245+AX245</f>
      </c>
      <c r="AW245" s="57">
        <f>G245*AO245</f>
      </c>
      <c r="AX245" s="57">
        <f>G245*AP245</f>
      </c>
      <c r="AY245" s="60" t="s">
        <v>197</v>
      </c>
      <c r="AZ245" s="60" t="s">
        <v>346</v>
      </c>
      <c r="BA245" s="33" t="s">
        <v>303</v>
      </c>
      <c r="BC245" s="57">
        <f>AW245+AX245</f>
      </c>
      <c r="BD245" s="57">
        <f>H245/(100-BE245)*100</f>
      </c>
      <c r="BE245" s="57" t="n">
        <v>0</v>
      </c>
      <c r="BF245" s="57">
        <f>245</f>
      </c>
      <c r="BH245" s="57">
        <f>G245*AO245</f>
      </c>
      <c r="BI245" s="57">
        <f>G245*AP245</f>
      </c>
      <c r="BJ245" s="57">
        <f>G245*H245</f>
      </c>
      <c r="BK245" s="57"/>
      <c r="BL245" s="57"/>
      <c r="BW245" s="57" t="n">
        <v>21</v>
      </c>
      <c r="BX245" s="16" t="s">
        <v>206</v>
      </c>
    </row>
    <row r="246">
      <c r="A246" s="61"/>
      <c r="D246" s="62" t="s">
        <v>222</v>
      </c>
      <c r="E246" s="63" t="s">
        <v>51</v>
      </c>
      <c r="G246" s="64" t="n">
        <v>30</v>
      </c>
      <c r="L246" s="65"/>
    </row>
    <row r="247">
      <c r="A247" s="61"/>
      <c r="D247" s="62" t="s">
        <v>351</v>
      </c>
      <c r="E247" s="63" t="s">
        <v>51</v>
      </c>
      <c r="G247" s="64" t="n">
        <v>0.6</v>
      </c>
      <c r="L247" s="65"/>
    </row>
    <row r="248">
      <c r="A248" s="10" t="s">
        <v>327</v>
      </c>
      <c r="B248" s="11" t="s">
        <v>299</v>
      </c>
      <c r="C248" s="11" t="s">
        <v>290</v>
      </c>
      <c r="D248" s="16" t="s">
        <v>291</v>
      </c>
      <c r="E248" s="11"/>
      <c r="F248" s="11" t="s">
        <v>207</v>
      </c>
      <c r="G248" s="57" t="n">
        <v>11.22</v>
      </c>
      <c r="H248" s="58" t="n">
        <v>0</v>
      </c>
      <c r="I248" s="57">
        <f>G248*AO248</f>
      </c>
      <c r="J248" s="57">
        <f>G248*AP248</f>
      </c>
      <c r="K248" s="57">
        <f>G248*H248</f>
      </c>
      <c r="L248" s="59" t="s">
        <v>60</v>
      </c>
      <c r="Z248" s="57">
        <f>IF(AQ248="5",BJ248,0)</f>
      </c>
      <c r="AB248" s="57">
        <f>IF(AQ248="1",BH248,0)</f>
      </c>
      <c r="AC248" s="57">
        <f>IF(AQ248="1",BI248,0)</f>
      </c>
      <c r="AD248" s="57">
        <f>IF(AQ248="7",BH248,0)</f>
      </c>
      <c r="AE248" s="57">
        <f>IF(AQ248="7",BI248,0)</f>
      </c>
      <c r="AF248" s="57">
        <f>IF(AQ248="2",BH248,0)</f>
      </c>
      <c r="AG248" s="57">
        <f>IF(AQ248="2",BI248,0)</f>
      </c>
      <c r="AH248" s="57">
        <f>IF(AQ248="0",BJ248,0)</f>
      </c>
      <c r="AI248" s="33" t="s">
        <v>299</v>
      </c>
      <c r="AJ248" s="57">
        <f>IF(AN248=0,K248,0)</f>
      </c>
      <c r="AK248" s="57">
        <f>IF(AN248=12,K248,0)</f>
      </c>
      <c r="AL248" s="57">
        <f>IF(AN248=21,K248,0)</f>
      </c>
      <c r="AN248" s="57" t="n">
        <v>21</v>
      </c>
      <c r="AO248" s="57">
        <f>H248*1</f>
      </c>
      <c r="AP248" s="57">
        <f>H248*(1-1)</f>
      </c>
      <c r="AQ248" s="60" t="s">
        <v>196</v>
      </c>
      <c r="AV248" s="57">
        <f>AW248+AX248</f>
      </c>
      <c r="AW248" s="57">
        <f>G248*AO248</f>
      </c>
      <c r="AX248" s="57">
        <f>G248*AP248</f>
      </c>
      <c r="AY248" s="60" t="s">
        <v>197</v>
      </c>
      <c r="AZ248" s="60" t="s">
        <v>346</v>
      </c>
      <c r="BA248" s="33" t="s">
        <v>303</v>
      </c>
      <c r="BC248" s="57">
        <f>AW248+AX248</f>
      </c>
      <c r="BD248" s="57">
        <f>H248/(100-BE248)*100</f>
      </c>
      <c r="BE248" s="57" t="n">
        <v>0</v>
      </c>
      <c r="BF248" s="57">
        <f>248</f>
      </c>
      <c r="BH248" s="57">
        <f>G248*AO248</f>
      </c>
      <c r="BI248" s="57">
        <f>G248*AP248</f>
      </c>
      <c r="BJ248" s="57">
        <f>G248*H248</f>
      </c>
      <c r="BK248" s="57"/>
      <c r="BL248" s="57"/>
      <c r="BW248" s="57" t="n">
        <v>21</v>
      </c>
      <c r="BX248" s="16" t="s">
        <v>291</v>
      </c>
    </row>
    <row r="249">
      <c r="A249" s="61"/>
      <c r="D249" s="62" t="s">
        <v>54</v>
      </c>
      <c r="E249" s="63" t="s">
        <v>51</v>
      </c>
      <c r="G249" s="64" t="n">
        <v>11</v>
      </c>
      <c r="L249" s="65"/>
    </row>
    <row r="250">
      <c r="A250" s="61"/>
      <c r="D250" s="62" t="s">
        <v>352</v>
      </c>
      <c r="E250" s="63" t="s">
        <v>51</v>
      </c>
      <c r="G250" s="64" t="n">
        <v>0.22</v>
      </c>
      <c r="L250" s="65"/>
    </row>
    <row r="251">
      <c r="A251" s="10" t="s">
        <v>353</v>
      </c>
      <c r="B251" s="11" t="s">
        <v>299</v>
      </c>
      <c r="C251" s="11" t="s">
        <v>211</v>
      </c>
      <c r="D251" s="16" t="s">
        <v>212</v>
      </c>
      <c r="E251" s="11"/>
      <c r="F251" s="11" t="s">
        <v>207</v>
      </c>
      <c r="G251" s="57" t="n">
        <v>10.2</v>
      </c>
      <c r="H251" s="58" t="n">
        <v>0</v>
      </c>
      <c r="I251" s="57">
        <f>G251*AO251</f>
      </c>
      <c r="J251" s="57">
        <f>G251*AP251</f>
      </c>
      <c r="K251" s="57">
        <f>G251*H251</f>
      </c>
      <c r="L251" s="59" t="s">
        <v>60</v>
      </c>
      <c r="Z251" s="57">
        <f>IF(AQ251="5",BJ251,0)</f>
      </c>
      <c r="AB251" s="57">
        <f>IF(AQ251="1",BH251,0)</f>
      </c>
      <c r="AC251" s="57">
        <f>IF(AQ251="1",BI251,0)</f>
      </c>
      <c r="AD251" s="57">
        <f>IF(AQ251="7",BH251,0)</f>
      </c>
      <c r="AE251" s="57">
        <f>IF(AQ251="7",BI251,0)</f>
      </c>
      <c r="AF251" s="57">
        <f>IF(AQ251="2",BH251,0)</f>
      </c>
      <c r="AG251" s="57">
        <f>IF(AQ251="2",BI251,0)</f>
      </c>
      <c r="AH251" s="57">
        <f>IF(AQ251="0",BJ251,0)</f>
      </c>
      <c r="AI251" s="33" t="s">
        <v>299</v>
      </c>
      <c r="AJ251" s="57">
        <f>IF(AN251=0,K251,0)</f>
      </c>
      <c r="AK251" s="57">
        <f>IF(AN251=12,K251,0)</f>
      </c>
      <c r="AL251" s="57">
        <f>IF(AN251=21,K251,0)</f>
      </c>
      <c r="AN251" s="57" t="n">
        <v>21</v>
      </c>
      <c r="AO251" s="57">
        <f>H251*1</f>
      </c>
      <c r="AP251" s="57">
        <f>H251*(1-1)</f>
      </c>
      <c r="AQ251" s="60" t="s">
        <v>196</v>
      </c>
      <c r="AV251" s="57">
        <f>AW251+AX251</f>
      </c>
      <c r="AW251" s="57">
        <f>G251*AO251</f>
      </c>
      <c r="AX251" s="57">
        <f>G251*AP251</f>
      </c>
      <c r="AY251" s="60" t="s">
        <v>197</v>
      </c>
      <c r="AZ251" s="60" t="s">
        <v>346</v>
      </c>
      <c r="BA251" s="33" t="s">
        <v>303</v>
      </c>
      <c r="BC251" s="57">
        <f>AW251+AX251</f>
      </c>
      <c r="BD251" s="57">
        <f>H251/(100-BE251)*100</f>
      </c>
      <c r="BE251" s="57" t="n">
        <v>0</v>
      </c>
      <c r="BF251" s="57">
        <f>251</f>
      </c>
      <c r="BH251" s="57">
        <f>G251*AO251</f>
      </c>
      <c r="BI251" s="57">
        <f>G251*AP251</f>
      </c>
      <c r="BJ251" s="57">
        <f>G251*H251</f>
      </c>
      <c r="BK251" s="57"/>
      <c r="BL251" s="57"/>
      <c r="BW251" s="57" t="n">
        <v>21</v>
      </c>
      <c r="BX251" s="16" t="s">
        <v>212</v>
      </c>
    </row>
    <row r="252">
      <c r="A252" s="61"/>
      <c r="D252" s="62" t="s">
        <v>117</v>
      </c>
      <c r="E252" s="63" t="s">
        <v>51</v>
      </c>
      <c r="G252" s="64" t="n">
        <v>10</v>
      </c>
      <c r="L252" s="65"/>
    </row>
    <row r="253">
      <c r="A253" s="61"/>
      <c r="D253" s="62" t="s">
        <v>354</v>
      </c>
      <c r="E253" s="63" t="s">
        <v>51</v>
      </c>
      <c r="G253" s="64" t="n">
        <v>0.2</v>
      </c>
      <c r="L253" s="65"/>
    </row>
    <row r="254">
      <c r="A254" s="10" t="s">
        <v>151</v>
      </c>
      <c r="B254" s="11" t="s">
        <v>299</v>
      </c>
      <c r="C254" s="11" t="s">
        <v>215</v>
      </c>
      <c r="D254" s="16" t="s">
        <v>216</v>
      </c>
      <c r="E254" s="11"/>
      <c r="F254" s="11" t="s">
        <v>207</v>
      </c>
      <c r="G254" s="57" t="n">
        <v>10857</v>
      </c>
      <c r="H254" s="58" t="n">
        <v>0</v>
      </c>
      <c r="I254" s="57">
        <f>G254*AO254</f>
      </c>
      <c r="J254" s="57">
        <f>G254*AP254</f>
      </c>
      <c r="K254" s="57">
        <f>G254*H254</f>
      </c>
      <c r="L254" s="59" t="s">
        <v>60</v>
      </c>
      <c r="Z254" s="57">
        <f>IF(AQ254="5",BJ254,0)</f>
      </c>
      <c r="AB254" s="57">
        <f>IF(AQ254="1",BH254,0)</f>
      </c>
      <c r="AC254" s="57">
        <f>IF(AQ254="1",BI254,0)</f>
      </c>
      <c r="AD254" s="57">
        <f>IF(AQ254="7",BH254,0)</f>
      </c>
      <c r="AE254" s="57">
        <f>IF(AQ254="7",BI254,0)</f>
      </c>
      <c r="AF254" s="57">
        <f>IF(AQ254="2",BH254,0)</f>
      </c>
      <c r="AG254" s="57">
        <f>IF(AQ254="2",BI254,0)</f>
      </c>
      <c r="AH254" s="57">
        <f>IF(AQ254="0",BJ254,0)</f>
      </c>
      <c r="AI254" s="33" t="s">
        <v>299</v>
      </c>
      <c r="AJ254" s="57">
        <f>IF(AN254=0,K254,0)</f>
      </c>
      <c r="AK254" s="57">
        <f>IF(AN254=12,K254,0)</f>
      </c>
      <c r="AL254" s="57">
        <f>IF(AN254=21,K254,0)</f>
      </c>
      <c r="AN254" s="57" t="n">
        <v>21</v>
      </c>
      <c r="AO254" s="57">
        <f>H254*1</f>
      </c>
      <c r="AP254" s="57">
        <f>H254*(1-1)</f>
      </c>
      <c r="AQ254" s="60" t="s">
        <v>196</v>
      </c>
      <c r="AV254" s="57">
        <f>AW254+AX254</f>
      </c>
      <c r="AW254" s="57">
        <f>G254*AO254</f>
      </c>
      <c r="AX254" s="57">
        <f>G254*AP254</f>
      </c>
      <c r="AY254" s="60" t="s">
        <v>197</v>
      </c>
      <c r="AZ254" s="60" t="s">
        <v>346</v>
      </c>
      <c r="BA254" s="33" t="s">
        <v>303</v>
      </c>
      <c r="BC254" s="57">
        <f>AW254+AX254</f>
      </c>
      <c r="BD254" s="57">
        <f>H254/(100-BE254)*100</f>
      </c>
      <c r="BE254" s="57" t="n">
        <v>0</v>
      </c>
      <c r="BF254" s="57">
        <f>254</f>
      </c>
      <c r="BH254" s="57">
        <f>G254*AO254</f>
      </c>
      <c r="BI254" s="57">
        <f>G254*AP254</f>
      </c>
      <c r="BJ254" s="57">
        <f>G254*H254</f>
      </c>
      <c r="BK254" s="57"/>
      <c r="BL254" s="57"/>
      <c r="BW254" s="57" t="n">
        <v>21</v>
      </c>
      <c r="BX254" s="16" t="s">
        <v>216</v>
      </c>
    </row>
    <row r="255">
      <c r="A255" s="61"/>
      <c r="D255" s="62" t="s">
        <v>355</v>
      </c>
      <c r="E255" s="63" t="s">
        <v>51</v>
      </c>
      <c r="G255" s="64" t="n">
        <v>10340</v>
      </c>
      <c r="L255" s="65"/>
    </row>
    <row r="256">
      <c r="A256" s="61"/>
      <c r="D256" s="62" t="s">
        <v>356</v>
      </c>
      <c r="E256" s="63" t="s">
        <v>51</v>
      </c>
      <c r="G256" s="64" t="n">
        <v>517</v>
      </c>
      <c r="L256" s="65"/>
    </row>
    <row r="257" customHeight="true" ht="13.5">
      <c r="A257" s="61"/>
      <c r="C257" s="71" t="s">
        <v>87</v>
      </c>
      <c r="D257" s="72" t="s">
        <v>357</v>
      </c>
      <c r="E257" s="73"/>
      <c r="F257" s="73"/>
      <c r="G257" s="73"/>
      <c r="H257" s="74"/>
      <c r="I257" s="73"/>
      <c r="J257" s="73"/>
      <c r="K257" s="73"/>
      <c r="L257" s="75"/>
    </row>
    <row r="258">
      <c r="A258" s="51" t="s">
        <v>51</v>
      </c>
      <c r="B258" s="52" t="s">
        <v>358</v>
      </c>
      <c r="C258" s="52" t="s">
        <v>51</v>
      </c>
      <c r="D258" s="53" t="s">
        <v>359</v>
      </c>
      <c r="E258" s="52"/>
      <c r="F258" s="54" t="s">
        <v>4</v>
      </c>
      <c r="G258" s="54" t="s">
        <v>4</v>
      </c>
      <c r="H258" s="55" t="s">
        <v>4</v>
      </c>
      <c r="I258" s="2">
        <f>I259+I264+I270+I276+I284+I297+I307+I311+I323+I329+I350+I353+I359+I362+I369</f>
      </c>
      <c r="J258" s="2">
        <f>J259+J264+J270+J276+J284+J297+J307+J311+J323+J329+J350+J353+J359+J362+J369</f>
      </c>
      <c r="K258" s="2">
        <f>K259+K264+K270+K276+K284+K297+K307+K311+K323+K329+K350+K353+K359+K362+K369</f>
      </c>
      <c r="L258" s="56" t="s">
        <v>51</v>
      </c>
    </row>
    <row r="259">
      <c r="A259" s="51" t="s">
        <v>51</v>
      </c>
      <c r="B259" s="52" t="s">
        <v>358</v>
      </c>
      <c r="C259" s="52" t="s">
        <v>54</v>
      </c>
      <c r="D259" s="53" t="s">
        <v>55</v>
      </c>
      <c r="E259" s="52"/>
      <c r="F259" s="54" t="s">
        <v>4</v>
      </c>
      <c r="G259" s="54" t="s">
        <v>4</v>
      </c>
      <c r="H259" s="55" t="s">
        <v>4</v>
      </c>
      <c r="I259" s="2">
        <f>SUM(I260:I261)</f>
      </c>
      <c r="J259" s="2">
        <f>SUM(J260:J261)</f>
      </c>
      <c r="K259" s="2">
        <f>SUM(K260:K261)</f>
      </c>
      <c r="L259" s="56" t="s">
        <v>51</v>
      </c>
      <c r="AI259" s="33" t="s">
        <v>358</v>
      </c>
      <c r="AS259" s="2">
        <f>SUM(AJ260:AJ261)</f>
      </c>
      <c r="AT259" s="2">
        <f>SUM(AK260:AK261)</f>
      </c>
      <c r="AU259" s="2">
        <f>SUM(AL260:AL261)</f>
      </c>
    </row>
    <row r="260">
      <c r="A260" s="10" t="s">
        <v>360</v>
      </c>
      <c r="B260" s="11" t="s">
        <v>358</v>
      </c>
      <c r="C260" s="11" t="s">
        <v>361</v>
      </c>
      <c r="D260" s="16" t="s">
        <v>362</v>
      </c>
      <c r="E260" s="11"/>
      <c r="F260" s="11" t="s">
        <v>59</v>
      </c>
      <c r="G260" s="57" t="n">
        <v>288</v>
      </c>
      <c r="H260" s="58" t="n">
        <v>0</v>
      </c>
      <c r="I260" s="57">
        <f>G260*AO260</f>
      </c>
      <c r="J260" s="57">
        <f>G260*AP260</f>
      </c>
      <c r="K260" s="57">
        <f>G260*H260</f>
      </c>
      <c r="L260" s="59" t="s">
        <v>60</v>
      </c>
      <c r="Z260" s="57">
        <f>IF(AQ260="5",BJ260,0)</f>
      </c>
      <c r="AB260" s="57">
        <f>IF(AQ260="1",BH260,0)</f>
      </c>
      <c r="AC260" s="57">
        <f>IF(AQ260="1",BI260,0)</f>
      </c>
      <c r="AD260" s="57">
        <f>IF(AQ260="7",BH260,0)</f>
      </c>
      <c r="AE260" s="57">
        <f>IF(AQ260="7",BI260,0)</f>
      </c>
      <c r="AF260" s="57">
        <f>IF(AQ260="2",BH260,0)</f>
      </c>
      <c r="AG260" s="57">
        <f>IF(AQ260="2",BI260,0)</f>
      </c>
      <c r="AH260" s="57">
        <f>IF(AQ260="0",BJ260,0)</f>
      </c>
      <c r="AI260" s="33" t="s">
        <v>358</v>
      </c>
      <c r="AJ260" s="57">
        <f>IF(AN260=0,K260,0)</f>
      </c>
      <c r="AK260" s="57">
        <f>IF(AN260=12,K260,0)</f>
      </c>
      <c r="AL260" s="57">
        <f>IF(AN260=21,K260,0)</f>
      </c>
      <c r="AN260" s="57" t="n">
        <v>21</v>
      </c>
      <c r="AO260" s="57">
        <f>H260*0</f>
      </c>
      <c r="AP260" s="57">
        <f>H260*(1-0)</f>
      </c>
      <c r="AQ260" s="60" t="s">
        <v>56</v>
      </c>
      <c r="AV260" s="57">
        <f>AW260+AX260</f>
      </c>
      <c r="AW260" s="57">
        <f>G260*AO260</f>
      </c>
      <c r="AX260" s="57">
        <f>G260*AP260</f>
      </c>
      <c r="AY260" s="60" t="s">
        <v>61</v>
      </c>
      <c r="AZ260" s="60" t="s">
        <v>363</v>
      </c>
      <c r="BA260" s="33" t="s">
        <v>364</v>
      </c>
      <c r="BC260" s="57">
        <f>AW260+AX260</f>
      </c>
      <c r="BD260" s="57">
        <f>H260/(100-BE260)*100</f>
      </c>
      <c r="BE260" s="57" t="n">
        <v>0</v>
      </c>
      <c r="BF260" s="57">
        <f>260</f>
      </c>
      <c r="BH260" s="57">
        <f>G260*AO260</f>
      </c>
      <c r="BI260" s="57">
        <f>G260*AP260</f>
      </c>
      <c r="BJ260" s="57">
        <f>G260*H260</f>
      </c>
      <c r="BK260" s="57"/>
      <c r="BL260" s="57" t="n">
        <v>11</v>
      </c>
      <c r="BW260" s="57" t="n">
        <v>21</v>
      </c>
      <c r="BX260" s="16" t="s">
        <v>362</v>
      </c>
    </row>
    <row r="261">
      <c r="A261" s="10" t="s">
        <v>365</v>
      </c>
      <c r="B261" s="11" t="s">
        <v>358</v>
      </c>
      <c r="C261" s="11" t="s">
        <v>66</v>
      </c>
      <c r="D261" s="16" t="s">
        <v>67</v>
      </c>
      <c r="E261" s="11"/>
      <c r="F261" s="11" t="s">
        <v>68</v>
      </c>
      <c r="G261" s="57" t="n">
        <v>92.5</v>
      </c>
      <c r="H261" s="58" t="n">
        <v>0</v>
      </c>
      <c r="I261" s="57">
        <f>G261*AO261</f>
      </c>
      <c r="J261" s="57">
        <f>G261*AP261</f>
      </c>
      <c r="K261" s="57">
        <f>G261*H261</f>
      </c>
      <c r="L261" s="59" t="s">
        <v>60</v>
      </c>
      <c r="Z261" s="57">
        <f>IF(AQ261="5",BJ261,0)</f>
      </c>
      <c r="AB261" s="57">
        <f>IF(AQ261="1",BH261,0)</f>
      </c>
      <c r="AC261" s="57">
        <f>IF(AQ261="1",BI261,0)</f>
      </c>
      <c r="AD261" s="57">
        <f>IF(AQ261="7",BH261,0)</f>
      </c>
      <c r="AE261" s="57">
        <f>IF(AQ261="7",BI261,0)</f>
      </c>
      <c r="AF261" s="57">
        <f>IF(AQ261="2",BH261,0)</f>
      </c>
      <c r="AG261" s="57">
        <f>IF(AQ261="2",BI261,0)</f>
      </c>
      <c r="AH261" s="57">
        <f>IF(AQ261="0",BJ261,0)</f>
      </c>
      <c r="AI261" s="33" t="s">
        <v>358</v>
      </c>
      <c r="AJ261" s="57">
        <f>IF(AN261=0,K261,0)</f>
      </c>
      <c r="AK261" s="57">
        <f>IF(AN261=12,K261,0)</f>
      </c>
      <c r="AL261" s="57">
        <f>IF(AN261=21,K261,0)</f>
      </c>
      <c r="AN261" s="57" t="n">
        <v>21</v>
      </c>
      <c r="AO261" s="57">
        <f>H261*0</f>
      </c>
      <c r="AP261" s="57">
        <f>H261*(1-0)</f>
      </c>
      <c r="AQ261" s="60" t="s">
        <v>56</v>
      </c>
      <c r="AV261" s="57">
        <f>AW261+AX261</f>
      </c>
      <c r="AW261" s="57">
        <f>G261*AO261</f>
      </c>
      <c r="AX261" s="57">
        <f>G261*AP261</f>
      </c>
      <c r="AY261" s="60" t="s">
        <v>61</v>
      </c>
      <c r="AZ261" s="60" t="s">
        <v>363</v>
      </c>
      <c r="BA261" s="33" t="s">
        <v>364</v>
      </c>
      <c r="BC261" s="57">
        <f>AW261+AX261</f>
      </c>
      <c r="BD261" s="57">
        <f>H261/(100-BE261)*100</f>
      </c>
      <c r="BE261" s="57" t="n">
        <v>0</v>
      </c>
      <c r="BF261" s="57">
        <f>261</f>
      </c>
      <c r="BH261" s="57">
        <f>G261*AO261</f>
      </c>
      <c r="BI261" s="57">
        <f>G261*AP261</f>
      </c>
      <c r="BJ261" s="57">
        <f>G261*H261</f>
      </c>
      <c r="BK261" s="57"/>
      <c r="BL261" s="57" t="n">
        <v>11</v>
      </c>
      <c r="BW261" s="57" t="n">
        <v>21</v>
      </c>
      <c r="BX261" s="16" t="s">
        <v>67</v>
      </c>
    </row>
    <row r="262" customHeight="true" ht="13.5">
      <c r="A262" s="61"/>
      <c r="C262" s="66" t="s">
        <v>69</v>
      </c>
      <c r="D262" s="67" t="s">
        <v>70</v>
      </c>
      <c r="E262" s="68"/>
      <c r="F262" s="68"/>
      <c r="G262" s="68"/>
      <c r="H262" s="69"/>
      <c r="I262" s="68"/>
      <c r="J262" s="68"/>
      <c r="K262" s="68"/>
      <c r="L262" s="70"/>
    </row>
    <row r="263">
      <c r="A263" s="61"/>
      <c r="D263" s="62" t="s">
        <v>366</v>
      </c>
      <c r="E263" s="63" t="s">
        <v>51</v>
      </c>
      <c r="G263" s="64" t="n">
        <v>92.5</v>
      </c>
      <c r="L263" s="65"/>
    </row>
    <row r="264">
      <c r="A264" s="51" t="s">
        <v>51</v>
      </c>
      <c r="B264" s="52" t="s">
        <v>358</v>
      </c>
      <c r="C264" s="52" t="s">
        <v>72</v>
      </c>
      <c r="D264" s="53" t="s">
        <v>73</v>
      </c>
      <c r="E264" s="52"/>
      <c r="F264" s="54" t="s">
        <v>4</v>
      </c>
      <c r="G264" s="54" t="s">
        <v>4</v>
      </c>
      <c r="H264" s="55" t="s">
        <v>4</v>
      </c>
      <c r="I264" s="2">
        <f>SUM(I265:I269)</f>
      </c>
      <c r="J264" s="2">
        <f>SUM(J265:J269)</f>
      </c>
      <c r="K264" s="2">
        <f>SUM(K265:K269)</f>
      </c>
      <c r="L264" s="56" t="s">
        <v>51</v>
      </c>
      <c r="AI264" s="33" t="s">
        <v>358</v>
      </c>
      <c r="AS264" s="2">
        <f>SUM(AJ265:AJ269)</f>
      </c>
      <c r="AT264" s="2">
        <f>SUM(AK265:AK269)</f>
      </c>
      <c r="AU264" s="2">
        <f>SUM(AL265:AL269)</f>
      </c>
    </row>
    <row r="265">
      <c r="A265" s="10" t="s">
        <v>367</v>
      </c>
      <c r="B265" s="11" t="s">
        <v>358</v>
      </c>
      <c r="C265" s="11" t="s">
        <v>75</v>
      </c>
      <c r="D265" s="16" t="s">
        <v>76</v>
      </c>
      <c r="E265" s="11"/>
      <c r="F265" s="11" t="s">
        <v>77</v>
      </c>
      <c r="G265" s="57" t="n">
        <v>11.76</v>
      </c>
      <c r="H265" s="58" t="n">
        <v>0</v>
      </c>
      <c r="I265" s="57">
        <f>G265*AO265</f>
      </c>
      <c r="J265" s="57">
        <f>G265*AP265</f>
      </c>
      <c r="K265" s="57">
        <f>G265*H265</f>
      </c>
      <c r="L265" s="59" t="s">
        <v>60</v>
      </c>
      <c r="Z265" s="57">
        <f>IF(AQ265="5",BJ265,0)</f>
      </c>
      <c r="AB265" s="57">
        <f>IF(AQ265="1",BH265,0)</f>
      </c>
      <c r="AC265" s="57">
        <f>IF(AQ265="1",BI265,0)</f>
      </c>
      <c r="AD265" s="57">
        <f>IF(AQ265="7",BH265,0)</f>
      </c>
      <c r="AE265" s="57">
        <f>IF(AQ265="7",BI265,0)</f>
      </c>
      <c r="AF265" s="57">
        <f>IF(AQ265="2",BH265,0)</f>
      </c>
      <c r="AG265" s="57">
        <f>IF(AQ265="2",BI265,0)</f>
      </c>
      <c r="AH265" s="57">
        <f>IF(AQ265="0",BJ265,0)</f>
      </c>
      <c r="AI265" s="33" t="s">
        <v>358</v>
      </c>
      <c r="AJ265" s="57">
        <f>IF(AN265=0,K265,0)</f>
      </c>
      <c r="AK265" s="57">
        <f>IF(AN265=12,K265,0)</f>
      </c>
      <c r="AL265" s="57">
        <f>IF(AN265=21,K265,0)</f>
      </c>
      <c r="AN265" s="57" t="n">
        <v>21</v>
      </c>
      <c r="AO265" s="57">
        <f>H265*0</f>
      </c>
      <c r="AP265" s="57">
        <f>H265*(1-0)</f>
      </c>
      <c r="AQ265" s="60" t="s">
        <v>56</v>
      </c>
      <c r="AV265" s="57">
        <f>AW265+AX265</f>
      </c>
      <c r="AW265" s="57">
        <f>G265*AO265</f>
      </c>
      <c r="AX265" s="57">
        <f>G265*AP265</f>
      </c>
      <c r="AY265" s="60" t="s">
        <v>78</v>
      </c>
      <c r="AZ265" s="60" t="s">
        <v>363</v>
      </c>
      <c r="BA265" s="33" t="s">
        <v>364</v>
      </c>
      <c r="BC265" s="57">
        <f>AW265+AX265</f>
      </c>
      <c r="BD265" s="57">
        <f>H265/(100-BE265)*100</f>
      </c>
      <c r="BE265" s="57" t="n">
        <v>0</v>
      </c>
      <c r="BF265" s="57">
        <f>265</f>
      </c>
      <c r="BH265" s="57">
        <f>G265*AO265</f>
      </c>
      <c r="BI265" s="57">
        <f>G265*AP265</f>
      </c>
      <c r="BJ265" s="57">
        <f>G265*H265</f>
      </c>
      <c r="BK265" s="57"/>
      <c r="BL265" s="57" t="n">
        <v>12</v>
      </c>
      <c r="BW265" s="57" t="n">
        <v>21</v>
      </c>
      <c r="BX265" s="16" t="s">
        <v>76</v>
      </c>
    </row>
    <row r="266">
      <c r="A266" s="61"/>
      <c r="D266" s="62" t="s">
        <v>368</v>
      </c>
      <c r="E266" s="63" t="s">
        <v>51</v>
      </c>
      <c r="G266" s="64" t="n">
        <v>11.76</v>
      </c>
      <c r="L266" s="65"/>
    </row>
    <row r="267">
      <c r="A267" s="10" t="s">
        <v>369</v>
      </c>
      <c r="B267" s="11" t="s">
        <v>358</v>
      </c>
      <c r="C267" s="11" t="s">
        <v>370</v>
      </c>
      <c r="D267" s="16" t="s">
        <v>371</v>
      </c>
      <c r="E267" s="11"/>
      <c r="F267" s="11" t="s">
        <v>77</v>
      </c>
      <c r="G267" s="57" t="n">
        <v>18.7</v>
      </c>
      <c r="H267" s="58" t="n">
        <v>0</v>
      </c>
      <c r="I267" s="57">
        <f>G267*AO267</f>
      </c>
      <c r="J267" s="57">
        <f>G267*AP267</f>
      </c>
      <c r="K267" s="57">
        <f>G267*H267</f>
      </c>
      <c r="L267" s="59" t="s">
        <v>60</v>
      </c>
      <c r="Z267" s="57">
        <f>IF(AQ267="5",BJ267,0)</f>
      </c>
      <c r="AB267" s="57">
        <f>IF(AQ267="1",BH267,0)</f>
      </c>
      <c r="AC267" s="57">
        <f>IF(AQ267="1",BI267,0)</f>
      </c>
      <c r="AD267" s="57">
        <f>IF(AQ267="7",BH267,0)</f>
      </c>
      <c r="AE267" s="57">
        <f>IF(AQ267="7",BI267,0)</f>
      </c>
      <c r="AF267" s="57">
        <f>IF(AQ267="2",BH267,0)</f>
      </c>
      <c r="AG267" s="57">
        <f>IF(AQ267="2",BI267,0)</f>
      </c>
      <c r="AH267" s="57">
        <f>IF(AQ267="0",BJ267,0)</f>
      </c>
      <c r="AI267" s="33" t="s">
        <v>358</v>
      </c>
      <c r="AJ267" s="57">
        <f>IF(AN267=0,K267,0)</f>
      </c>
      <c r="AK267" s="57">
        <f>IF(AN267=12,K267,0)</f>
      </c>
      <c r="AL267" s="57">
        <f>IF(AN267=21,K267,0)</f>
      </c>
      <c r="AN267" s="57" t="n">
        <v>21</v>
      </c>
      <c r="AO267" s="57">
        <f>H267*0</f>
      </c>
      <c r="AP267" s="57">
        <f>H267*(1-0)</f>
      </c>
      <c r="AQ267" s="60" t="s">
        <v>56</v>
      </c>
      <c r="AV267" s="57">
        <f>AW267+AX267</f>
      </c>
      <c r="AW267" s="57">
        <f>G267*AO267</f>
      </c>
      <c r="AX267" s="57">
        <f>G267*AP267</f>
      </c>
      <c r="AY267" s="60" t="s">
        <v>78</v>
      </c>
      <c r="AZ267" s="60" t="s">
        <v>363</v>
      </c>
      <c r="BA267" s="33" t="s">
        <v>364</v>
      </c>
      <c r="BC267" s="57">
        <f>AW267+AX267</f>
      </c>
      <c r="BD267" s="57">
        <f>H267/(100-BE267)*100</f>
      </c>
      <c r="BE267" s="57" t="n">
        <v>0</v>
      </c>
      <c r="BF267" s="57">
        <f>267</f>
      </c>
      <c r="BH267" s="57">
        <f>G267*AO267</f>
      </c>
      <c r="BI267" s="57">
        <f>G267*AP267</f>
      </c>
      <c r="BJ267" s="57">
        <f>G267*H267</f>
      </c>
      <c r="BK267" s="57"/>
      <c r="BL267" s="57" t="n">
        <v>12</v>
      </c>
      <c r="BW267" s="57" t="n">
        <v>21</v>
      </c>
      <c r="BX267" s="16" t="s">
        <v>371</v>
      </c>
    </row>
    <row r="268">
      <c r="A268" s="61"/>
      <c r="D268" s="62" t="s">
        <v>372</v>
      </c>
      <c r="E268" s="63" t="s">
        <v>51</v>
      </c>
      <c r="G268" s="64" t="n">
        <v>18.7</v>
      </c>
      <c r="L268" s="65"/>
    </row>
    <row r="269">
      <c r="A269" s="10" t="s">
        <v>373</v>
      </c>
      <c r="B269" s="11" t="s">
        <v>358</v>
      </c>
      <c r="C269" s="11" t="s">
        <v>374</v>
      </c>
      <c r="D269" s="16" t="s">
        <v>375</v>
      </c>
      <c r="E269" s="11"/>
      <c r="F269" s="11" t="s">
        <v>77</v>
      </c>
      <c r="G269" s="57" t="n">
        <v>18.7</v>
      </c>
      <c r="H269" s="58" t="n">
        <v>0</v>
      </c>
      <c r="I269" s="57">
        <f>G269*AO269</f>
      </c>
      <c r="J269" s="57">
        <f>G269*AP269</f>
      </c>
      <c r="K269" s="57">
        <f>G269*H269</f>
      </c>
      <c r="L269" s="59" t="s">
        <v>60</v>
      </c>
      <c r="Z269" s="57">
        <f>IF(AQ269="5",BJ269,0)</f>
      </c>
      <c r="AB269" s="57">
        <f>IF(AQ269="1",BH269,0)</f>
      </c>
      <c r="AC269" s="57">
        <f>IF(AQ269="1",BI269,0)</f>
      </c>
      <c r="AD269" s="57">
        <f>IF(AQ269="7",BH269,0)</f>
      </c>
      <c r="AE269" s="57">
        <f>IF(AQ269="7",BI269,0)</f>
      </c>
      <c r="AF269" s="57">
        <f>IF(AQ269="2",BH269,0)</f>
      </c>
      <c r="AG269" s="57">
        <f>IF(AQ269="2",BI269,0)</f>
      </c>
      <c r="AH269" s="57">
        <f>IF(AQ269="0",BJ269,0)</f>
      </c>
      <c r="AI269" s="33" t="s">
        <v>358</v>
      </c>
      <c r="AJ269" s="57">
        <f>IF(AN269=0,K269,0)</f>
      </c>
      <c r="AK269" s="57">
        <f>IF(AN269=12,K269,0)</f>
      </c>
      <c r="AL269" s="57">
        <f>IF(AN269=21,K269,0)</f>
      </c>
      <c r="AN269" s="57" t="n">
        <v>21</v>
      </c>
      <c r="AO269" s="57">
        <f>H269*0</f>
      </c>
      <c r="AP269" s="57">
        <f>H269*(1-0)</f>
      </c>
      <c r="AQ269" s="60" t="s">
        <v>56</v>
      </c>
      <c r="AV269" s="57">
        <f>AW269+AX269</f>
      </c>
      <c r="AW269" s="57">
        <f>G269*AO269</f>
      </c>
      <c r="AX269" s="57">
        <f>G269*AP269</f>
      </c>
      <c r="AY269" s="60" t="s">
        <v>78</v>
      </c>
      <c r="AZ269" s="60" t="s">
        <v>363</v>
      </c>
      <c r="BA269" s="33" t="s">
        <v>364</v>
      </c>
      <c r="BC269" s="57">
        <f>AW269+AX269</f>
      </c>
      <c r="BD269" s="57">
        <f>H269/(100-BE269)*100</f>
      </c>
      <c r="BE269" s="57" t="n">
        <v>0</v>
      </c>
      <c r="BF269" s="57">
        <f>269</f>
      </c>
      <c r="BH269" s="57">
        <f>G269*AO269</f>
      </c>
      <c r="BI269" s="57">
        <f>G269*AP269</f>
      </c>
      <c r="BJ269" s="57">
        <f>G269*H269</f>
      </c>
      <c r="BK269" s="57"/>
      <c r="BL269" s="57" t="n">
        <v>12</v>
      </c>
      <c r="BW269" s="57" t="n">
        <v>21</v>
      </c>
      <c r="BX269" s="16" t="s">
        <v>375</v>
      </c>
    </row>
    <row r="270">
      <c r="A270" s="51" t="s">
        <v>51</v>
      </c>
      <c r="B270" s="52" t="s">
        <v>358</v>
      </c>
      <c r="C270" s="52" t="s">
        <v>128</v>
      </c>
      <c r="D270" s="53" t="s">
        <v>376</v>
      </c>
      <c r="E270" s="52"/>
      <c r="F270" s="54" t="s">
        <v>4</v>
      </c>
      <c r="G270" s="54" t="s">
        <v>4</v>
      </c>
      <c r="H270" s="55" t="s">
        <v>4</v>
      </c>
      <c r="I270" s="2">
        <f>SUM(I271:I275)</f>
      </c>
      <c r="J270" s="2">
        <f>SUM(J271:J275)</f>
      </c>
      <c r="K270" s="2">
        <f>SUM(K271:K275)</f>
      </c>
      <c r="L270" s="56" t="s">
        <v>51</v>
      </c>
      <c r="AI270" s="33" t="s">
        <v>358</v>
      </c>
      <c r="AS270" s="2">
        <f>SUM(AJ271:AJ275)</f>
      </c>
      <c r="AT270" s="2">
        <f>SUM(AK271:AK275)</f>
      </c>
      <c r="AU270" s="2">
        <f>SUM(AL271:AL275)</f>
      </c>
    </row>
    <row r="271">
      <c r="A271" s="10" t="s">
        <v>377</v>
      </c>
      <c r="B271" s="11" t="s">
        <v>358</v>
      </c>
      <c r="C271" s="11" t="s">
        <v>378</v>
      </c>
      <c r="D271" s="16" t="s">
        <v>379</v>
      </c>
      <c r="E271" s="11"/>
      <c r="F271" s="11" t="s">
        <v>77</v>
      </c>
      <c r="G271" s="57" t="n">
        <v>4.05</v>
      </c>
      <c r="H271" s="58" t="n">
        <v>0</v>
      </c>
      <c r="I271" s="57">
        <f>G271*AO271</f>
      </c>
      <c r="J271" s="57">
        <f>G271*AP271</f>
      </c>
      <c r="K271" s="57">
        <f>G271*H271</f>
      </c>
      <c r="L271" s="59" t="s">
        <v>60</v>
      </c>
      <c r="Z271" s="57">
        <f>IF(AQ271="5",BJ271,0)</f>
      </c>
      <c r="AB271" s="57">
        <f>IF(AQ271="1",BH271,0)</f>
      </c>
      <c r="AC271" s="57">
        <f>IF(AQ271="1",BI271,0)</f>
      </c>
      <c r="AD271" s="57">
        <f>IF(AQ271="7",BH271,0)</f>
      </c>
      <c r="AE271" s="57">
        <f>IF(AQ271="7",BI271,0)</f>
      </c>
      <c r="AF271" s="57">
        <f>IF(AQ271="2",BH271,0)</f>
      </c>
      <c r="AG271" s="57">
        <f>IF(AQ271="2",BI271,0)</f>
      </c>
      <c r="AH271" s="57">
        <f>IF(AQ271="0",BJ271,0)</f>
      </c>
      <c r="AI271" s="33" t="s">
        <v>358</v>
      </c>
      <c r="AJ271" s="57">
        <f>IF(AN271=0,K271,0)</f>
      </c>
      <c r="AK271" s="57">
        <f>IF(AN271=12,K271,0)</f>
      </c>
      <c r="AL271" s="57">
        <f>IF(AN271=21,K271,0)</f>
      </c>
      <c r="AN271" s="57" t="n">
        <v>21</v>
      </c>
      <c r="AO271" s="57">
        <f>H271*0</f>
      </c>
      <c r="AP271" s="57">
        <f>H271*(1-0)</f>
      </c>
      <c r="AQ271" s="60" t="s">
        <v>56</v>
      </c>
      <c r="AV271" s="57">
        <f>AW271+AX271</f>
      </c>
      <c r="AW271" s="57">
        <f>G271*AO271</f>
      </c>
      <c r="AX271" s="57">
        <f>G271*AP271</f>
      </c>
      <c r="AY271" s="60" t="s">
        <v>380</v>
      </c>
      <c r="AZ271" s="60" t="s">
        <v>363</v>
      </c>
      <c r="BA271" s="33" t="s">
        <v>364</v>
      </c>
      <c r="BC271" s="57">
        <f>AW271+AX271</f>
      </c>
      <c r="BD271" s="57">
        <f>H271/(100-BE271)*100</f>
      </c>
      <c r="BE271" s="57" t="n">
        <v>0</v>
      </c>
      <c r="BF271" s="57">
        <f>271</f>
      </c>
      <c r="BH271" s="57">
        <f>G271*AO271</f>
      </c>
      <c r="BI271" s="57">
        <f>G271*AP271</f>
      </c>
      <c r="BJ271" s="57">
        <f>G271*H271</f>
      </c>
      <c r="BK271" s="57"/>
      <c r="BL271" s="57" t="n">
        <v>13</v>
      </c>
      <c r="BW271" s="57" t="n">
        <v>21</v>
      </c>
      <c r="BX271" s="16" t="s">
        <v>379</v>
      </c>
    </row>
    <row r="272" customHeight="true" ht="13.5">
      <c r="A272" s="61"/>
      <c r="C272" s="66" t="s">
        <v>69</v>
      </c>
      <c r="D272" s="67" t="s">
        <v>381</v>
      </c>
      <c r="E272" s="68"/>
      <c r="F272" s="68"/>
      <c r="G272" s="68"/>
      <c r="H272" s="69"/>
      <c r="I272" s="68"/>
      <c r="J272" s="68"/>
      <c r="K272" s="68"/>
      <c r="L272" s="70"/>
    </row>
    <row r="273">
      <c r="A273" s="61"/>
      <c r="D273" s="62" t="s">
        <v>382</v>
      </c>
      <c r="E273" s="63" t="s">
        <v>51</v>
      </c>
      <c r="G273" s="64" t="n">
        <v>4.05</v>
      </c>
      <c r="L273" s="65"/>
    </row>
    <row r="274" customHeight="true" ht="13.5">
      <c r="A274" s="61"/>
      <c r="C274" s="71" t="s">
        <v>87</v>
      </c>
      <c r="D274" s="72" t="s">
        <v>383</v>
      </c>
      <c r="E274" s="73"/>
      <c r="F274" s="73"/>
      <c r="G274" s="73"/>
      <c r="H274" s="74"/>
      <c r="I274" s="73"/>
      <c r="J274" s="73"/>
      <c r="K274" s="73"/>
      <c r="L274" s="75"/>
    </row>
    <row r="275">
      <c r="A275" s="10" t="s">
        <v>384</v>
      </c>
      <c r="B275" s="11" t="s">
        <v>358</v>
      </c>
      <c r="C275" s="11" t="s">
        <v>385</v>
      </c>
      <c r="D275" s="16" t="s">
        <v>386</v>
      </c>
      <c r="E275" s="11"/>
      <c r="F275" s="11" t="s">
        <v>77</v>
      </c>
      <c r="G275" s="57" t="n">
        <v>4.05</v>
      </c>
      <c r="H275" s="58" t="n">
        <v>0</v>
      </c>
      <c r="I275" s="57">
        <f>G275*AO275</f>
      </c>
      <c r="J275" s="57">
        <f>G275*AP275</f>
      </c>
      <c r="K275" s="57">
        <f>G275*H275</f>
      </c>
      <c r="L275" s="59" t="s">
        <v>60</v>
      </c>
      <c r="Z275" s="57">
        <f>IF(AQ275="5",BJ275,0)</f>
      </c>
      <c r="AB275" s="57">
        <f>IF(AQ275="1",BH275,0)</f>
      </c>
      <c r="AC275" s="57">
        <f>IF(AQ275="1",BI275,0)</f>
      </c>
      <c r="AD275" s="57">
        <f>IF(AQ275="7",BH275,0)</f>
      </c>
      <c r="AE275" s="57">
        <f>IF(AQ275="7",BI275,0)</f>
      </c>
      <c r="AF275" s="57">
        <f>IF(AQ275="2",BH275,0)</f>
      </c>
      <c r="AG275" s="57">
        <f>IF(AQ275="2",BI275,0)</f>
      </c>
      <c r="AH275" s="57">
        <f>IF(AQ275="0",BJ275,0)</f>
      </c>
      <c r="AI275" s="33" t="s">
        <v>358</v>
      </c>
      <c r="AJ275" s="57">
        <f>IF(AN275=0,K275,0)</f>
      </c>
      <c r="AK275" s="57">
        <f>IF(AN275=12,K275,0)</f>
      </c>
      <c r="AL275" s="57">
        <f>IF(AN275=21,K275,0)</f>
      </c>
      <c r="AN275" s="57" t="n">
        <v>21</v>
      </c>
      <c r="AO275" s="57">
        <f>H275*0</f>
      </c>
      <c r="AP275" s="57">
        <f>H275*(1-0)</f>
      </c>
      <c r="AQ275" s="60" t="s">
        <v>56</v>
      </c>
      <c r="AV275" s="57">
        <f>AW275+AX275</f>
      </c>
      <c r="AW275" s="57">
        <f>G275*AO275</f>
      </c>
      <c r="AX275" s="57">
        <f>G275*AP275</f>
      </c>
      <c r="AY275" s="60" t="s">
        <v>380</v>
      </c>
      <c r="AZ275" s="60" t="s">
        <v>363</v>
      </c>
      <c r="BA275" s="33" t="s">
        <v>364</v>
      </c>
      <c r="BC275" s="57">
        <f>AW275+AX275</f>
      </c>
      <c r="BD275" s="57">
        <f>H275/(100-BE275)*100</f>
      </c>
      <c r="BE275" s="57" t="n">
        <v>0</v>
      </c>
      <c r="BF275" s="57">
        <f>275</f>
      </c>
      <c r="BH275" s="57">
        <f>G275*AO275</f>
      </c>
      <c r="BI275" s="57">
        <f>G275*AP275</f>
      </c>
      <c r="BJ275" s="57">
        <f>G275*H275</f>
      </c>
      <c r="BK275" s="57"/>
      <c r="BL275" s="57" t="n">
        <v>13</v>
      </c>
      <c r="BW275" s="57" t="n">
        <v>21</v>
      </c>
      <c r="BX275" s="16" t="s">
        <v>386</v>
      </c>
    </row>
    <row r="276">
      <c r="A276" s="51" t="s">
        <v>51</v>
      </c>
      <c r="B276" s="52" t="s">
        <v>358</v>
      </c>
      <c r="C276" s="52" t="s">
        <v>80</v>
      </c>
      <c r="D276" s="53" t="s">
        <v>81</v>
      </c>
      <c r="E276" s="52"/>
      <c r="F276" s="54" t="s">
        <v>4</v>
      </c>
      <c r="G276" s="54" t="s">
        <v>4</v>
      </c>
      <c r="H276" s="55" t="s">
        <v>4</v>
      </c>
      <c r="I276" s="2">
        <f>SUM(I277:I283)</f>
      </c>
      <c r="J276" s="2">
        <f>SUM(J277:J283)</f>
      </c>
      <c r="K276" s="2">
        <f>SUM(K277:K283)</f>
      </c>
      <c r="L276" s="56" t="s">
        <v>51</v>
      </c>
      <c r="AI276" s="33" t="s">
        <v>358</v>
      </c>
      <c r="AS276" s="2">
        <f>SUM(AJ277:AJ283)</f>
      </c>
      <c r="AT276" s="2">
        <f>SUM(AK277:AK283)</f>
      </c>
      <c r="AU276" s="2">
        <f>SUM(AL277:AL283)</f>
      </c>
    </row>
    <row r="277">
      <c r="A277" s="10" t="s">
        <v>387</v>
      </c>
      <c r="B277" s="11" t="s">
        <v>358</v>
      </c>
      <c r="C277" s="11" t="s">
        <v>83</v>
      </c>
      <c r="D277" s="16" t="s">
        <v>84</v>
      </c>
      <c r="E277" s="11"/>
      <c r="F277" s="11" t="s">
        <v>77</v>
      </c>
      <c r="G277" s="57" t="n">
        <v>13.25</v>
      </c>
      <c r="H277" s="58" t="n">
        <v>0</v>
      </c>
      <c r="I277" s="57">
        <f>G277*AO277</f>
      </c>
      <c r="J277" s="57">
        <f>G277*AP277</f>
      </c>
      <c r="K277" s="57">
        <f>G277*H277</f>
      </c>
      <c r="L277" s="59" t="s">
        <v>60</v>
      </c>
      <c r="Z277" s="57">
        <f>IF(AQ277="5",BJ277,0)</f>
      </c>
      <c r="AB277" s="57">
        <f>IF(AQ277="1",BH277,0)</f>
      </c>
      <c r="AC277" s="57">
        <f>IF(AQ277="1",BI277,0)</f>
      </c>
      <c r="AD277" s="57">
        <f>IF(AQ277="7",BH277,0)</f>
      </c>
      <c r="AE277" s="57">
        <f>IF(AQ277="7",BI277,0)</f>
      </c>
      <c r="AF277" s="57">
        <f>IF(AQ277="2",BH277,0)</f>
      </c>
      <c r="AG277" s="57">
        <f>IF(AQ277="2",BI277,0)</f>
      </c>
      <c r="AH277" s="57">
        <f>IF(AQ277="0",BJ277,0)</f>
      </c>
      <c r="AI277" s="33" t="s">
        <v>358</v>
      </c>
      <c r="AJ277" s="57">
        <f>IF(AN277=0,K277,0)</f>
      </c>
      <c r="AK277" s="57">
        <f>IF(AN277=12,K277,0)</f>
      </c>
      <c r="AL277" s="57">
        <f>IF(AN277=21,K277,0)</f>
      </c>
      <c r="AN277" s="57" t="n">
        <v>21</v>
      </c>
      <c r="AO277" s="57">
        <f>H277*0</f>
      </c>
      <c r="AP277" s="57">
        <f>H277*(1-0)</f>
      </c>
      <c r="AQ277" s="60" t="s">
        <v>56</v>
      </c>
      <c r="AV277" s="57">
        <f>AW277+AX277</f>
      </c>
      <c r="AW277" s="57">
        <f>G277*AO277</f>
      </c>
      <c r="AX277" s="57">
        <f>G277*AP277</f>
      </c>
      <c r="AY277" s="60" t="s">
        <v>85</v>
      </c>
      <c r="AZ277" s="60" t="s">
        <v>363</v>
      </c>
      <c r="BA277" s="33" t="s">
        <v>364</v>
      </c>
      <c r="BC277" s="57">
        <f>AW277+AX277</f>
      </c>
      <c r="BD277" s="57">
        <f>H277/(100-BE277)*100</f>
      </c>
      <c r="BE277" s="57" t="n">
        <v>0</v>
      </c>
      <c r="BF277" s="57">
        <f>277</f>
      </c>
      <c r="BH277" s="57">
        <f>G277*AO277</f>
      </c>
      <c r="BI277" s="57">
        <f>G277*AP277</f>
      </c>
      <c r="BJ277" s="57">
        <f>G277*H277</f>
      </c>
      <c r="BK277" s="57"/>
      <c r="BL277" s="57" t="n">
        <v>16</v>
      </c>
      <c r="BW277" s="57" t="n">
        <v>21</v>
      </c>
      <c r="BX277" s="16" t="s">
        <v>84</v>
      </c>
    </row>
    <row r="278">
      <c r="A278" s="61"/>
      <c r="D278" s="62" t="s">
        <v>388</v>
      </c>
      <c r="E278" s="63" t="s">
        <v>51</v>
      </c>
      <c r="G278" s="64" t="n">
        <v>13.25</v>
      </c>
      <c r="L278" s="65"/>
    </row>
    <row r="279">
      <c r="A279" s="10" t="s">
        <v>389</v>
      </c>
      <c r="B279" s="11" t="s">
        <v>358</v>
      </c>
      <c r="C279" s="11" t="s">
        <v>90</v>
      </c>
      <c r="D279" s="16" t="s">
        <v>91</v>
      </c>
      <c r="E279" s="11"/>
      <c r="F279" s="11" t="s">
        <v>77</v>
      </c>
      <c r="G279" s="57" t="n">
        <v>66.25</v>
      </c>
      <c r="H279" s="58" t="n">
        <v>0</v>
      </c>
      <c r="I279" s="57">
        <f>G279*AO279</f>
      </c>
      <c r="J279" s="57">
        <f>G279*AP279</f>
      </c>
      <c r="K279" s="57">
        <f>G279*H279</f>
      </c>
      <c r="L279" s="59" t="s">
        <v>60</v>
      </c>
      <c r="Z279" s="57">
        <f>IF(AQ279="5",BJ279,0)</f>
      </c>
      <c r="AB279" s="57">
        <f>IF(AQ279="1",BH279,0)</f>
      </c>
      <c r="AC279" s="57">
        <f>IF(AQ279="1",BI279,0)</f>
      </c>
      <c r="AD279" s="57">
        <f>IF(AQ279="7",BH279,0)</f>
      </c>
      <c r="AE279" s="57">
        <f>IF(AQ279="7",BI279,0)</f>
      </c>
      <c r="AF279" s="57">
        <f>IF(AQ279="2",BH279,0)</f>
      </c>
      <c r="AG279" s="57">
        <f>IF(AQ279="2",BI279,0)</f>
      </c>
      <c r="AH279" s="57">
        <f>IF(AQ279="0",BJ279,0)</f>
      </c>
      <c r="AI279" s="33" t="s">
        <v>358</v>
      </c>
      <c r="AJ279" s="57">
        <f>IF(AN279=0,K279,0)</f>
      </c>
      <c r="AK279" s="57">
        <f>IF(AN279=12,K279,0)</f>
      </c>
      <c r="AL279" s="57">
        <f>IF(AN279=21,K279,0)</f>
      </c>
      <c r="AN279" s="57" t="n">
        <v>21</v>
      </c>
      <c r="AO279" s="57">
        <f>H279*0</f>
      </c>
      <c r="AP279" s="57">
        <f>H279*(1-0)</f>
      </c>
      <c r="AQ279" s="60" t="s">
        <v>56</v>
      </c>
      <c r="AV279" s="57">
        <f>AW279+AX279</f>
      </c>
      <c r="AW279" s="57">
        <f>G279*AO279</f>
      </c>
      <c r="AX279" s="57">
        <f>G279*AP279</f>
      </c>
      <c r="AY279" s="60" t="s">
        <v>85</v>
      </c>
      <c r="AZ279" s="60" t="s">
        <v>363</v>
      </c>
      <c r="BA279" s="33" t="s">
        <v>364</v>
      </c>
      <c r="BC279" s="57">
        <f>AW279+AX279</f>
      </c>
      <c r="BD279" s="57">
        <f>H279/(100-BE279)*100</f>
      </c>
      <c r="BE279" s="57" t="n">
        <v>0</v>
      </c>
      <c r="BF279" s="57">
        <f>279</f>
      </c>
      <c r="BH279" s="57">
        <f>G279*AO279</f>
      </c>
      <c r="BI279" s="57">
        <f>G279*AP279</f>
      </c>
      <c r="BJ279" s="57">
        <f>G279*H279</f>
      </c>
      <c r="BK279" s="57"/>
      <c r="BL279" s="57" t="n">
        <v>16</v>
      </c>
      <c r="BW279" s="57" t="n">
        <v>21</v>
      </c>
      <c r="BX279" s="16" t="s">
        <v>91</v>
      </c>
    </row>
    <row r="280">
      <c r="A280" s="61"/>
      <c r="D280" s="62" t="s">
        <v>390</v>
      </c>
      <c r="E280" s="63" t="s">
        <v>51</v>
      </c>
      <c r="G280" s="64" t="n">
        <v>66.25</v>
      </c>
      <c r="L280" s="65"/>
    </row>
    <row r="281">
      <c r="A281" s="10" t="s">
        <v>391</v>
      </c>
      <c r="B281" s="11" t="s">
        <v>358</v>
      </c>
      <c r="C281" s="11" t="s">
        <v>100</v>
      </c>
      <c r="D281" s="16" t="s">
        <v>101</v>
      </c>
      <c r="E281" s="11"/>
      <c r="F281" s="11" t="s">
        <v>77</v>
      </c>
      <c r="G281" s="57" t="n">
        <v>13.25</v>
      </c>
      <c r="H281" s="58" t="n">
        <v>0</v>
      </c>
      <c r="I281" s="57">
        <f>G281*AO281</f>
      </c>
      <c r="J281" s="57">
        <f>G281*AP281</f>
      </c>
      <c r="K281" s="57">
        <f>G281*H281</f>
      </c>
      <c r="L281" s="59" t="s">
        <v>60</v>
      </c>
      <c r="Z281" s="57">
        <f>IF(AQ281="5",BJ281,0)</f>
      </c>
      <c r="AB281" s="57">
        <f>IF(AQ281="1",BH281,0)</f>
      </c>
      <c r="AC281" s="57">
        <f>IF(AQ281="1",BI281,0)</f>
      </c>
      <c r="AD281" s="57">
        <f>IF(AQ281="7",BH281,0)</f>
      </c>
      <c r="AE281" s="57">
        <f>IF(AQ281="7",BI281,0)</f>
      </c>
      <c r="AF281" s="57">
        <f>IF(AQ281="2",BH281,0)</f>
      </c>
      <c r="AG281" s="57">
        <f>IF(AQ281="2",BI281,0)</f>
      </c>
      <c r="AH281" s="57">
        <f>IF(AQ281="0",BJ281,0)</f>
      </c>
      <c r="AI281" s="33" t="s">
        <v>358</v>
      </c>
      <c r="AJ281" s="57">
        <f>IF(AN281=0,K281,0)</f>
      </c>
      <c r="AK281" s="57">
        <f>IF(AN281=12,K281,0)</f>
      </c>
      <c r="AL281" s="57">
        <f>IF(AN281=21,K281,0)</f>
      </c>
      <c r="AN281" s="57" t="n">
        <v>21</v>
      </c>
      <c r="AO281" s="57">
        <f>H281*0</f>
      </c>
      <c r="AP281" s="57">
        <f>H281*(1-0)</f>
      </c>
      <c r="AQ281" s="60" t="s">
        <v>56</v>
      </c>
      <c r="AV281" s="57">
        <f>AW281+AX281</f>
      </c>
      <c r="AW281" s="57">
        <f>G281*AO281</f>
      </c>
      <c r="AX281" s="57">
        <f>G281*AP281</f>
      </c>
      <c r="AY281" s="60" t="s">
        <v>85</v>
      </c>
      <c r="AZ281" s="60" t="s">
        <v>363</v>
      </c>
      <c r="BA281" s="33" t="s">
        <v>364</v>
      </c>
      <c r="BC281" s="57">
        <f>AW281+AX281</f>
      </c>
      <c r="BD281" s="57">
        <f>H281/(100-BE281)*100</f>
      </c>
      <c r="BE281" s="57" t="n">
        <v>0</v>
      </c>
      <c r="BF281" s="57">
        <f>281</f>
      </c>
      <c r="BH281" s="57">
        <f>G281*AO281</f>
      </c>
      <c r="BI281" s="57">
        <f>G281*AP281</f>
      </c>
      <c r="BJ281" s="57">
        <f>G281*H281</f>
      </c>
      <c r="BK281" s="57"/>
      <c r="BL281" s="57" t="n">
        <v>16</v>
      </c>
      <c r="BW281" s="57" t="n">
        <v>21</v>
      </c>
      <c r="BX281" s="16" t="s">
        <v>101</v>
      </c>
    </row>
    <row r="282" customHeight="true" ht="13.5">
      <c r="A282" s="61"/>
      <c r="C282" s="66" t="s">
        <v>69</v>
      </c>
      <c r="D282" s="67" t="s">
        <v>392</v>
      </c>
      <c r="E282" s="68"/>
      <c r="F282" s="68"/>
      <c r="G282" s="68"/>
      <c r="H282" s="69"/>
      <c r="I282" s="68"/>
      <c r="J282" s="68"/>
      <c r="K282" s="68"/>
      <c r="L282" s="70"/>
    </row>
    <row r="283">
      <c r="A283" s="10" t="s">
        <v>393</v>
      </c>
      <c r="B283" s="11" t="s">
        <v>358</v>
      </c>
      <c r="C283" s="11" t="s">
        <v>394</v>
      </c>
      <c r="D283" s="16" t="s">
        <v>395</v>
      </c>
      <c r="E283" s="11"/>
      <c r="F283" s="11" t="s">
        <v>77</v>
      </c>
      <c r="G283" s="57" t="n">
        <v>13.25</v>
      </c>
      <c r="H283" s="58" t="n">
        <v>0</v>
      </c>
      <c r="I283" s="57">
        <f>G283*AO283</f>
      </c>
      <c r="J283" s="57">
        <f>G283*AP283</f>
      </c>
      <c r="K283" s="57">
        <f>G283*H283</f>
      </c>
      <c r="L283" s="59" t="s">
        <v>60</v>
      </c>
      <c r="Z283" s="57">
        <f>IF(AQ283="5",BJ283,0)</f>
      </c>
      <c r="AB283" s="57">
        <f>IF(AQ283="1",BH283,0)</f>
      </c>
      <c r="AC283" s="57">
        <f>IF(AQ283="1",BI283,0)</f>
      </c>
      <c r="AD283" s="57">
        <f>IF(AQ283="7",BH283,0)</f>
      </c>
      <c r="AE283" s="57">
        <f>IF(AQ283="7",BI283,0)</f>
      </c>
      <c r="AF283" s="57">
        <f>IF(AQ283="2",BH283,0)</f>
      </c>
      <c r="AG283" s="57">
        <f>IF(AQ283="2",BI283,0)</f>
      </c>
      <c r="AH283" s="57">
        <f>IF(AQ283="0",BJ283,0)</f>
      </c>
      <c r="AI283" s="33" t="s">
        <v>358</v>
      </c>
      <c r="AJ283" s="57">
        <f>IF(AN283=0,K283,0)</f>
      </c>
      <c r="AK283" s="57">
        <f>IF(AN283=12,K283,0)</f>
      </c>
      <c r="AL283" s="57">
        <f>IF(AN283=21,K283,0)</f>
      </c>
      <c r="AN283" s="57" t="n">
        <v>21</v>
      </c>
      <c r="AO283" s="57">
        <f>H283*0</f>
      </c>
      <c r="AP283" s="57">
        <f>H283*(1-0)</f>
      </c>
      <c r="AQ283" s="60" t="s">
        <v>56</v>
      </c>
      <c r="AV283" s="57">
        <f>AW283+AX283</f>
      </c>
      <c r="AW283" s="57">
        <f>G283*AO283</f>
      </c>
      <c r="AX283" s="57">
        <f>G283*AP283</f>
      </c>
      <c r="AY283" s="60" t="s">
        <v>85</v>
      </c>
      <c r="AZ283" s="60" t="s">
        <v>363</v>
      </c>
      <c r="BA283" s="33" t="s">
        <v>364</v>
      </c>
      <c r="BC283" s="57">
        <f>AW283+AX283</f>
      </c>
      <c r="BD283" s="57">
        <f>H283/(100-BE283)*100</f>
      </c>
      <c r="BE283" s="57" t="n">
        <v>0</v>
      </c>
      <c r="BF283" s="57">
        <f>283</f>
      </c>
      <c r="BH283" s="57">
        <f>G283*AO283</f>
      </c>
      <c r="BI283" s="57">
        <f>G283*AP283</f>
      </c>
      <c r="BJ283" s="57">
        <f>G283*H283</f>
      </c>
      <c r="BK283" s="57"/>
      <c r="BL283" s="57" t="n">
        <v>16</v>
      </c>
      <c r="BW283" s="57" t="n">
        <v>21</v>
      </c>
      <c r="BX283" s="16" t="s">
        <v>395</v>
      </c>
    </row>
    <row r="284">
      <c r="A284" s="51" t="s">
        <v>51</v>
      </c>
      <c r="B284" s="52" t="s">
        <v>358</v>
      </c>
      <c r="C284" s="52" t="s">
        <v>97</v>
      </c>
      <c r="D284" s="53" t="s">
        <v>98</v>
      </c>
      <c r="E284" s="52"/>
      <c r="F284" s="54" t="s">
        <v>4</v>
      </c>
      <c r="G284" s="54" t="s">
        <v>4</v>
      </c>
      <c r="H284" s="55" t="s">
        <v>4</v>
      </c>
      <c r="I284" s="2">
        <f>SUM(I285:I294)</f>
      </c>
      <c r="J284" s="2">
        <f>SUM(J285:J294)</f>
      </c>
      <c r="K284" s="2">
        <f>SUM(K285:K294)</f>
      </c>
      <c r="L284" s="56" t="s">
        <v>51</v>
      </c>
      <c r="AI284" s="33" t="s">
        <v>358</v>
      </c>
      <c r="AS284" s="2">
        <f>SUM(AJ285:AJ294)</f>
      </c>
      <c r="AT284" s="2">
        <f>SUM(AK285:AK294)</f>
      </c>
      <c r="AU284" s="2">
        <f>SUM(AL285:AL294)</f>
      </c>
    </row>
    <row r="285">
      <c r="A285" s="10" t="s">
        <v>396</v>
      </c>
      <c r="B285" s="11" t="s">
        <v>358</v>
      </c>
      <c r="C285" s="11" t="s">
        <v>397</v>
      </c>
      <c r="D285" s="16" t="s">
        <v>398</v>
      </c>
      <c r="E285" s="11"/>
      <c r="F285" s="11" t="s">
        <v>77</v>
      </c>
      <c r="G285" s="57" t="n">
        <v>3.13</v>
      </c>
      <c r="H285" s="58" t="n">
        <v>0</v>
      </c>
      <c r="I285" s="57">
        <f>G285*AO285</f>
      </c>
      <c r="J285" s="57">
        <f>G285*AP285</f>
      </c>
      <c r="K285" s="57">
        <f>G285*H285</f>
      </c>
      <c r="L285" s="59" t="s">
        <v>60</v>
      </c>
      <c r="Z285" s="57">
        <f>IF(AQ285="5",BJ285,0)</f>
      </c>
      <c r="AB285" s="57">
        <f>IF(AQ285="1",BH285,0)</f>
      </c>
      <c r="AC285" s="57">
        <f>IF(AQ285="1",BI285,0)</f>
      </c>
      <c r="AD285" s="57">
        <f>IF(AQ285="7",BH285,0)</f>
      </c>
      <c r="AE285" s="57">
        <f>IF(AQ285="7",BI285,0)</f>
      </c>
      <c r="AF285" s="57">
        <f>IF(AQ285="2",BH285,0)</f>
      </c>
      <c r="AG285" s="57">
        <f>IF(AQ285="2",BI285,0)</f>
      </c>
      <c r="AH285" s="57">
        <f>IF(AQ285="0",BJ285,0)</f>
      </c>
      <c r="AI285" s="33" t="s">
        <v>358</v>
      </c>
      <c r="AJ285" s="57">
        <f>IF(AN285=0,K285,0)</f>
      </c>
      <c r="AK285" s="57">
        <f>IF(AN285=12,K285,0)</f>
      </c>
      <c r="AL285" s="57">
        <f>IF(AN285=21,K285,0)</f>
      </c>
      <c r="AN285" s="57" t="n">
        <v>21</v>
      </c>
      <c r="AO285" s="57">
        <f>H285*0</f>
      </c>
      <c r="AP285" s="57">
        <f>H285*(1-0)</f>
      </c>
      <c r="AQ285" s="60" t="s">
        <v>56</v>
      </c>
      <c r="AV285" s="57">
        <f>AW285+AX285</f>
      </c>
      <c r="AW285" s="57">
        <f>G285*AO285</f>
      </c>
      <c r="AX285" s="57">
        <f>G285*AP285</f>
      </c>
      <c r="AY285" s="60" t="s">
        <v>102</v>
      </c>
      <c r="AZ285" s="60" t="s">
        <v>363</v>
      </c>
      <c r="BA285" s="33" t="s">
        <v>364</v>
      </c>
      <c r="BC285" s="57">
        <f>AW285+AX285</f>
      </c>
      <c r="BD285" s="57">
        <f>H285/(100-BE285)*100</f>
      </c>
      <c r="BE285" s="57" t="n">
        <v>0</v>
      </c>
      <c r="BF285" s="57">
        <f>285</f>
      </c>
      <c r="BH285" s="57">
        <f>G285*AO285</f>
      </c>
      <c r="BI285" s="57">
        <f>G285*AP285</f>
      </c>
      <c r="BJ285" s="57">
        <f>G285*H285</f>
      </c>
      <c r="BK285" s="57"/>
      <c r="BL285" s="57" t="n">
        <v>17</v>
      </c>
      <c r="BW285" s="57" t="n">
        <v>21</v>
      </c>
      <c r="BX285" s="16" t="s">
        <v>398</v>
      </c>
    </row>
    <row r="286">
      <c r="A286" s="61"/>
      <c r="D286" s="62" t="s">
        <v>399</v>
      </c>
      <c r="E286" s="63" t="s">
        <v>51</v>
      </c>
      <c r="G286" s="64" t="n">
        <v>3.13</v>
      </c>
      <c r="L286" s="65"/>
    </row>
    <row r="287">
      <c r="A287" s="10" t="s">
        <v>400</v>
      </c>
      <c r="B287" s="11" t="s">
        <v>358</v>
      </c>
      <c r="C287" s="11" t="s">
        <v>100</v>
      </c>
      <c r="D287" s="16" t="s">
        <v>101</v>
      </c>
      <c r="E287" s="11"/>
      <c r="F287" s="11" t="s">
        <v>77</v>
      </c>
      <c r="G287" s="57" t="n">
        <v>3</v>
      </c>
      <c r="H287" s="58" t="n">
        <v>0</v>
      </c>
      <c r="I287" s="57">
        <f>G287*AO287</f>
      </c>
      <c r="J287" s="57">
        <f>G287*AP287</f>
      </c>
      <c r="K287" s="57">
        <f>G287*H287</f>
      </c>
      <c r="L287" s="59" t="s">
        <v>60</v>
      </c>
      <c r="Z287" s="57">
        <f>IF(AQ287="5",BJ287,0)</f>
      </c>
      <c r="AB287" s="57">
        <f>IF(AQ287="1",BH287,0)</f>
      </c>
      <c r="AC287" s="57">
        <f>IF(AQ287="1",BI287,0)</f>
      </c>
      <c r="AD287" s="57">
        <f>IF(AQ287="7",BH287,0)</f>
      </c>
      <c r="AE287" s="57">
        <f>IF(AQ287="7",BI287,0)</f>
      </c>
      <c r="AF287" s="57">
        <f>IF(AQ287="2",BH287,0)</f>
      </c>
      <c r="AG287" s="57">
        <f>IF(AQ287="2",BI287,0)</f>
      </c>
      <c r="AH287" s="57">
        <f>IF(AQ287="0",BJ287,0)</f>
      </c>
      <c r="AI287" s="33" t="s">
        <v>358</v>
      </c>
      <c r="AJ287" s="57">
        <f>IF(AN287=0,K287,0)</f>
      </c>
      <c r="AK287" s="57">
        <f>IF(AN287=12,K287,0)</f>
      </c>
      <c r="AL287" s="57">
        <f>IF(AN287=21,K287,0)</f>
      </c>
      <c r="AN287" s="57" t="n">
        <v>21</v>
      </c>
      <c r="AO287" s="57">
        <f>H287*0</f>
      </c>
      <c r="AP287" s="57">
        <f>H287*(1-0)</f>
      </c>
      <c r="AQ287" s="60" t="s">
        <v>56</v>
      </c>
      <c r="AV287" s="57">
        <f>AW287+AX287</f>
      </c>
      <c r="AW287" s="57">
        <f>G287*AO287</f>
      </c>
      <c r="AX287" s="57">
        <f>G287*AP287</f>
      </c>
      <c r="AY287" s="60" t="s">
        <v>102</v>
      </c>
      <c r="AZ287" s="60" t="s">
        <v>363</v>
      </c>
      <c r="BA287" s="33" t="s">
        <v>364</v>
      </c>
      <c r="BC287" s="57">
        <f>AW287+AX287</f>
      </c>
      <c r="BD287" s="57">
        <f>H287/(100-BE287)*100</f>
      </c>
      <c r="BE287" s="57" t="n">
        <v>0</v>
      </c>
      <c r="BF287" s="57">
        <f>287</f>
      </c>
      <c r="BH287" s="57">
        <f>G287*AO287</f>
      </c>
      <c r="BI287" s="57">
        <f>G287*AP287</f>
      </c>
      <c r="BJ287" s="57">
        <f>G287*H287</f>
      </c>
      <c r="BK287" s="57"/>
      <c r="BL287" s="57" t="n">
        <v>17</v>
      </c>
      <c r="BW287" s="57" t="n">
        <v>21</v>
      </c>
      <c r="BX287" s="16" t="s">
        <v>101</v>
      </c>
    </row>
    <row r="288" customHeight="true" ht="13.5">
      <c r="A288" s="61"/>
      <c r="C288" s="66" t="s">
        <v>69</v>
      </c>
      <c r="D288" s="67" t="s">
        <v>103</v>
      </c>
      <c r="E288" s="68"/>
      <c r="F288" s="68"/>
      <c r="G288" s="68"/>
      <c r="H288" s="69"/>
      <c r="I288" s="68"/>
      <c r="J288" s="68"/>
      <c r="K288" s="68"/>
      <c r="L288" s="70"/>
    </row>
    <row r="289">
      <c r="A289" s="61"/>
      <c r="D289" s="62" t="s">
        <v>401</v>
      </c>
      <c r="E289" s="63" t="s">
        <v>51</v>
      </c>
      <c r="G289" s="64" t="n">
        <v>3</v>
      </c>
      <c r="L289" s="65"/>
    </row>
    <row r="290" customHeight="true" ht="13.5">
      <c r="A290" s="61"/>
      <c r="C290" s="71" t="s">
        <v>87</v>
      </c>
      <c r="D290" s="72" t="s">
        <v>105</v>
      </c>
      <c r="E290" s="73"/>
      <c r="F290" s="73"/>
      <c r="G290" s="73"/>
      <c r="H290" s="74"/>
      <c r="I290" s="73"/>
      <c r="J290" s="73"/>
      <c r="K290" s="73"/>
      <c r="L290" s="75"/>
    </row>
    <row r="291">
      <c r="A291" s="10" t="s">
        <v>402</v>
      </c>
      <c r="B291" s="11" t="s">
        <v>358</v>
      </c>
      <c r="C291" s="11" t="s">
        <v>107</v>
      </c>
      <c r="D291" s="16" t="s">
        <v>108</v>
      </c>
      <c r="E291" s="11"/>
      <c r="F291" s="11" t="s">
        <v>77</v>
      </c>
      <c r="G291" s="57" t="n">
        <v>6.3</v>
      </c>
      <c r="H291" s="58" t="n">
        <v>0</v>
      </c>
      <c r="I291" s="57">
        <f>G291*AO291</f>
      </c>
      <c r="J291" s="57">
        <f>G291*AP291</f>
      </c>
      <c r="K291" s="57">
        <f>G291*H291</f>
      </c>
      <c r="L291" s="59" t="s">
        <v>60</v>
      </c>
      <c r="Z291" s="57">
        <f>IF(AQ291="5",BJ291,0)</f>
      </c>
      <c r="AB291" s="57">
        <f>IF(AQ291="1",BH291,0)</f>
      </c>
      <c r="AC291" s="57">
        <f>IF(AQ291="1",BI291,0)</f>
      </c>
      <c r="AD291" s="57">
        <f>IF(AQ291="7",BH291,0)</f>
      </c>
      <c r="AE291" s="57">
        <f>IF(AQ291="7",BI291,0)</f>
      </c>
      <c r="AF291" s="57">
        <f>IF(AQ291="2",BH291,0)</f>
      </c>
      <c r="AG291" s="57">
        <f>IF(AQ291="2",BI291,0)</f>
      </c>
      <c r="AH291" s="57">
        <f>IF(AQ291="0",BJ291,0)</f>
      </c>
      <c r="AI291" s="33" t="s">
        <v>358</v>
      </c>
      <c r="AJ291" s="57">
        <f>IF(AN291=0,K291,0)</f>
      </c>
      <c r="AK291" s="57">
        <f>IF(AN291=12,K291,0)</f>
      </c>
      <c r="AL291" s="57">
        <f>IF(AN291=21,K291,0)</f>
      </c>
      <c r="AN291" s="57" t="n">
        <v>21</v>
      </c>
      <c r="AO291" s="57">
        <f>H291*0</f>
      </c>
      <c r="AP291" s="57">
        <f>H291*(1-0)</f>
      </c>
      <c r="AQ291" s="60" t="s">
        <v>56</v>
      </c>
      <c r="AV291" s="57">
        <f>AW291+AX291</f>
      </c>
      <c r="AW291" s="57">
        <f>G291*AO291</f>
      </c>
      <c r="AX291" s="57">
        <f>G291*AP291</f>
      </c>
      <c r="AY291" s="60" t="s">
        <v>102</v>
      </c>
      <c r="AZ291" s="60" t="s">
        <v>363</v>
      </c>
      <c r="BA291" s="33" t="s">
        <v>364</v>
      </c>
      <c r="BC291" s="57">
        <f>AW291+AX291</f>
      </c>
      <c r="BD291" s="57">
        <f>H291/(100-BE291)*100</f>
      </c>
      <c r="BE291" s="57" t="n">
        <v>0</v>
      </c>
      <c r="BF291" s="57">
        <f>291</f>
      </c>
      <c r="BH291" s="57">
        <f>G291*AO291</f>
      </c>
      <c r="BI291" s="57">
        <f>G291*AP291</f>
      </c>
      <c r="BJ291" s="57">
        <f>G291*H291</f>
      </c>
      <c r="BK291" s="57"/>
      <c r="BL291" s="57" t="n">
        <v>17</v>
      </c>
      <c r="BW291" s="57" t="n">
        <v>21</v>
      </c>
      <c r="BX291" s="16" t="s">
        <v>108</v>
      </c>
    </row>
    <row r="292" customHeight="true" ht="13.5">
      <c r="A292" s="61"/>
      <c r="C292" s="66" t="s">
        <v>69</v>
      </c>
      <c r="D292" s="67" t="s">
        <v>109</v>
      </c>
      <c r="E292" s="68"/>
      <c r="F292" s="68"/>
      <c r="G292" s="68"/>
      <c r="H292" s="69"/>
      <c r="I292" s="68"/>
      <c r="J292" s="68"/>
      <c r="K292" s="68"/>
      <c r="L292" s="70"/>
    </row>
    <row r="293">
      <c r="A293" s="61"/>
      <c r="D293" s="62" t="s">
        <v>403</v>
      </c>
      <c r="E293" s="63" t="s">
        <v>51</v>
      </c>
      <c r="G293" s="64" t="n">
        <v>6.3</v>
      </c>
      <c r="L293" s="65"/>
    </row>
    <row r="294">
      <c r="A294" s="10" t="s">
        <v>404</v>
      </c>
      <c r="B294" s="11" t="s">
        <v>358</v>
      </c>
      <c r="C294" s="11" t="s">
        <v>405</v>
      </c>
      <c r="D294" s="16" t="s">
        <v>406</v>
      </c>
      <c r="E294" s="11"/>
      <c r="F294" s="11" t="s">
        <v>77</v>
      </c>
      <c r="G294" s="57" t="n">
        <v>3.38</v>
      </c>
      <c r="H294" s="58" t="n">
        <v>0</v>
      </c>
      <c r="I294" s="57">
        <f>G294*AO294</f>
      </c>
      <c r="J294" s="57">
        <f>G294*AP294</f>
      </c>
      <c r="K294" s="57">
        <f>G294*H294</f>
      </c>
      <c r="L294" s="59" t="s">
        <v>60</v>
      </c>
      <c r="Z294" s="57">
        <f>IF(AQ294="5",BJ294,0)</f>
      </c>
      <c r="AB294" s="57">
        <f>IF(AQ294="1",BH294,0)</f>
      </c>
      <c r="AC294" s="57">
        <f>IF(AQ294="1",BI294,0)</f>
      </c>
      <c r="AD294" s="57">
        <f>IF(AQ294="7",BH294,0)</f>
      </c>
      <c r="AE294" s="57">
        <f>IF(AQ294="7",BI294,0)</f>
      </c>
      <c r="AF294" s="57">
        <f>IF(AQ294="2",BH294,0)</f>
      </c>
      <c r="AG294" s="57">
        <f>IF(AQ294="2",BI294,0)</f>
      </c>
      <c r="AH294" s="57">
        <f>IF(AQ294="0",BJ294,0)</f>
      </c>
      <c r="AI294" s="33" t="s">
        <v>358</v>
      </c>
      <c r="AJ294" s="57">
        <f>IF(AN294=0,K294,0)</f>
      </c>
      <c r="AK294" s="57">
        <f>IF(AN294=12,K294,0)</f>
      </c>
      <c r="AL294" s="57">
        <f>IF(AN294=21,K294,0)</f>
      </c>
      <c r="AN294" s="57" t="n">
        <v>21</v>
      </c>
      <c r="AO294" s="57">
        <f>H294*0</f>
      </c>
      <c r="AP294" s="57">
        <f>H294*(1-0)</f>
      </c>
      <c r="AQ294" s="60" t="s">
        <v>56</v>
      </c>
      <c r="AV294" s="57">
        <f>AW294+AX294</f>
      </c>
      <c r="AW294" s="57">
        <f>G294*AO294</f>
      </c>
      <c r="AX294" s="57">
        <f>G294*AP294</f>
      </c>
      <c r="AY294" s="60" t="s">
        <v>102</v>
      </c>
      <c r="AZ294" s="60" t="s">
        <v>363</v>
      </c>
      <c r="BA294" s="33" t="s">
        <v>364</v>
      </c>
      <c r="BC294" s="57">
        <f>AW294+AX294</f>
      </c>
      <c r="BD294" s="57">
        <f>H294/(100-BE294)*100</f>
      </c>
      <c r="BE294" s="57" t="n">
        <v>0</v>
      </c>
      <c r="BF294" s="57">
        <f>294</f>
      </c>
      <c r="BH294" s="57">
        <f>G294*AO294</f>
      </c>
      <c r="BI294" s="57">
        <f>G294*AP294</f>
      </c>
      <c r="BJ294" s="57">
        <f>G294*H294</f>
      </c>
      <c r="BK294" s="57"/>
      <c r="BL294" s="57" t="n">
        <v>17</v>
      </c>
      <c r="BW294" s="57" t="n">
        <v>21</v>
      </c>
      <c r="BX294" s="16" t="s">
        <v>406</v>
      </c>
    </row>
    <row r="295" customHeight="true" ht="13.5">
      <c r="A295" s="61"/>
      <c r="C295" s="66" t="s">
        <v>69</v>
      </c>
      <c r="D295" s="67" t="s">
        <v>407</v>
      </c>
      <c r="E295" s="68"/>
      <c r="F295" s="68"/>
      <c r="G295" s="68"/>
      <c r="H295" s="69"/>
      <c r="I295" s="68"/>
      <c r="J295" s="68"/>
      <c r="K295" s="68"/>
      <c r="L295" s="70"/>
    </row>
    <row r="296">
      <c r="A296" s="61"/>
      <c r="D296" s="62" t="s">
        <v>408</v>
      </c>
      <c r="E296" s="63" t="s">
        <v>51</v>
      </c>
      <c r="G296" s="64" t="n">
        <v>3.38</v>
      </c>
      <c r="L296" s="65"/>
    </row>
    <row r="297">
      <c r="A297" s="51" t="s">
        <v>51</v>
      </c>
      <c r="B297" s="52" t="s">
        <v>358</v>
      </c>
      <c r="C297" s="52" t="s">
        <v>111</v>
      </c>
      <c r="D297" s="53" t="s">
        <v>112</v>
      </c>
      <c r="E297" s="52"/>
      <c r="F297" s="54" t="s">
        <v>4</v>
      </c>
      <c r="G297" s="54" t="s">
        <v>4</v>
      </c>
      <c r="H297" s="55" t="s">
        <v>4</v>
      </c>
      <c r="I297" s="2">
        <f>SUM(I298:I306)</f>
      </c>
      <c r="J297" s="2">
        <f>SUM(J298:J306)</f>
      </c>
      <c r="K297" s="2">
        <f>SUM(K298:K306)</f>
      </c>
      <c r="L297" s="56" t="s">
        <v>51</v>
      </c>
      <c r="AI297" s="33" t="s">
        <v>358</v>
      </c>
      <c r="AS297" s="2">
        <f>SUM(AJ298:AJ306)</f>
      </c>
      <c r="AT297" s="2">
        <f>SUM(AK298:AK306)</f>
      </c>
      <c r="AU297" s="2">
        <f>SUM(AL298:AL306)</f>
      </c>
    </row>
    <row r="298">
      <c r="A298" s="10" t="s">
        <v>409</v>
      </c>
      <c r="B298" s="11" t="s">
        <v>358</v>
      </c>
      <c r="C298" s="11" t="s">
        <v>114</v>
      </c>
      <c r="D298" s="16" t="s">
        <v>115</v>
      </c>
      <c r="E298" s="11"/>
      <c r="F298" s="11" t="s">
        <v>59</v>
      </c>
      <c r="G298" s="57" t="n">
        <v>30</v>
      </c>
      <c r="H298" s="58" t="n">
        <v>0</v>
      </c>
      <c r="I298" s="57">
        <f>G298*AO298</f>
      </c>
      <c r="J298" s="57">
        <f>G298*AP298</f>
      </c>
      <c r="K298" s="57">
        <f>G298*H298</f>
      </c>
      <c r="L298" s="59" t="s">
        <v>60</v>
      </c>
      <c r="Z298" s="57">
        <f>IF(AQ298="5",BJ298,0)</f>
      </c>
      <c r="AB298" s="57">
        <f>IF(AQ298="1",BH298,0)</f>
      </c>
      <c r="AC298" s="57">
        <f>IF(AQ298="1",BI298,0)</f>
      </c>
      <c r="AD298" s="57">
        <f>IF(AQ298="7",BH298,0)</f>
      </c>
      <c r="AE298" s="57">
        <f>IF(AQ298="7",BI298,0)</f>
      </c>
      <c r="AF298" s="57">
        <f>IF(AQ298="2",BH298,0)</f>
      </c>
      <c r="AG298" s="57">
        <f>IF(AQ298="2",BI298,0)</f>
      </c>
      <c r="AH298" s="57">
        <f>IF(AQ298="0",BJ298,0)</f>
      </c>
      <c r="AI298" s="33" t="s">
        <v>358</v>
      </c>
      <c r="AJ298" s="57">
        <f>IF(AN298=0,K298,0)</f>
      </c>
      <c r="AK298" s="57">
        <f>IF(AN298=12,K298,0)</f>
      </c>
      <c r="AL298" s="57">
        <f>IF(AN298=21,K298,0)</f>
      </c>
      <c r="AN298" s="57" t="n">
        <v>21</v>
      </c>
      <c r="AO298" s="57">
        <f>H298*0.070439865</f>
      </c>
      <c r="AP298" s="57">
        <f>H298*(1-0.070439865)</f>
      </c>
      <c r="AQ298" s="60" t="s">
        <v>56</v>
      </c>
      <c r="AV298" s="57">
        <f>AW298+AX298</f>
      </c>
      <c r="AW298" s="57">
        <f>G298*AO298</f>
      </c>
      <c r="AX298" s="57">
        <f>G298*AP298</f>
      </c>
      <c r="AY298" s="60" t="s">
        <v>116</v>
      </c>
      <c r="AZ298" s="60" t="s">
        <v>363</v>
      </c>
      <c r="BA298" s="33" t="s">
        <v>364</v>
      </c>
      <c r="BC298" s="57">
        <f>AW298+AX298</f>
      </c>
      <c r="BD298" s="57">
        <f>H298/(100-BE298)*100</f>
      </c>
      <c r="BE298" s="57" t="n">
        <v>0</v>
      </c>
      <c r="BF298" s="57">
        <f>298</f>
      </c>
      <c r="BH298" s="57">
        <f>G298*AO298</f>
      </c>
      <c r="BI298" s="57">
        <f>G298*AP298</f>
      </c>
      <c r="BJ298" s="57">
        <f>G298*H298</f>
      </c>
      <c r="BK298" s="57"/>
      <c r="BL298" s="57" t="n">
        <v>18</v>
      </c>
      <c r="BW298" s="57" t="n">
        <v>21</v>
      </c>
      <c r="BX298" s="16" t="s">
        <v>115</v>
      </c>
    </row>
    <row r="299">
      <c r="A299" s="10" t="s">
        <v>410</v>
      </c>
      <c r="B299" s="11" t="s">
        <v>358</v>
      </c>
      <c r="C299" s="11" t="s">
        <v>411</v>
      </c>
      <c r="D299" s="16" t="s">
        <v>412</v>
      </c>
      <c r="E299" s="11"/>
      <c r="F299" s="11" t="s">
        <v>59</v>
      </c>
      <c r="G299" s="57" t="n">
        <v>30</v>
      </c>
      <c r="H299" s="58" t="n">
        <v>0</v>
      </c>
      <c r="I299" s="57">
        <f>G299*AO299</f>
      </c>
      <c r="J299" s="57">
        <f>G299*AP299</f>
      </c>
      <c r="K299" s="57">
        <f>G299*H299</f>
      </c>
      <c r="L299" s="59" t="s">
        <v>60</v>
      </c>
      <c r="Z299" s="57">
        <f>IF(AQ299="5",BJ299,0)</f>
      </c>
      <c r="AB299" s="57">
        <f>IF(AQ299="1",BH299,0)</f>
      </c>
      <c r="AC299" s="57">
        <f>IF(AQ299="1",BI299,0)</f>
      </c>
      <c r="AD299" s="57">
        <f>IF(AQ299="7",BH299,0)</f>
      </c>
      <c r="AE299" s="57">
        <f>IF(AQ299="7",BI299,0)</f>
      </c>
      <c r="AF299" s="57">
        <f>IF(AQ299="2",BH299,0)</f>
      </c>
      <c r="AG299" s="57">
        <f>IF(AQ299="2",BI299,0)</f>
      </c>
      <c r="AH299" s="57">
        <f>IF(AQ299="0",BJ299,0)</f>
      </c>
      <c r="AI299" s="33" t="s">
        <v>358</v>
      </c>
      <c r="AJ299" s="57">
        <f>IF(AN299=0,K299,0)</f>
      </c>
      <c r="AK299" s="57">
        <f>IF(AN299=12,K299,0)</f>
      </c>
      <c r="AL299" s="57">
        <f>IF(AN299=21,K299,0)</f>
      </c>
      <c r="AN299" s="57" t="n">
        <v>21</v>
      </c>
      <c r="AO299" s="57">
        <f>H299*0.035171249</f>
      </c>
      <c r="AP299" s="57">
        <f>H299*(1-0.035171249)</f>
      </c>
      <c r="AQ299" s="60" t="s">
        <v>56</v>
      </c>
      <c r="AV299" s="57">
        <f>AW299+AX299</f>
      </c>
      <c r="AW299" s="57">
        <f>G299*AO299</f>
      </c>
      <c r="AX299" s="57">
        <f>G299*AP299</f>
      </c>
      <c r="AY299" s="60" t="s">
        <v>116</v>
      </c>
      <c r="AZ299" s="60" t="s">
        <v>363</v>
      </c>
      <c r="BA299" s="33" t="s">
        <v>364</v>
      </c>
      <c r="BC299" s="57">
        <f>AW299+AX299</f>
      </c>
      <c r="BD299" s="57">
        <f>H299/(100-BE299)*100</f>
      </c>
      <c r="BE299" s="57" t="n">
        <v>0</v>
      </c>
      <c r="BF299" s="57">
        <f>299</f>
      </c>
      <c r="BH299" s="57">
        <f>G299*AO299</f>
      </c>
      <c r="BI299" s="57">
        <f>G299*AP299</f>
      </c>
      <c r="BJ299" s="57">
        <f>G299*H299</f>
      </c>
      <c r="BK299" s="57"/>
      <c r="BL299" s="57" t="n">
        <v>18</v>
      </c>
      <c r="BW299" s="57" t="n">
        <v>21</v>
      </c>
      <c r="BX299" s="16" t="s">
        <v>412</v>
      </c>
    </row>
    <row r="300">
      <c r="A300" s="10" t="s">
        <v>413</v>
      </c>
      <c r="B300" s="11" t="s">
        <v>358</v>
      </c>
      <c r="C300" s="11" t="s">
        <v>414</v>
      </c>
      <c r="D300" s="16" t="s">
        <v>415</v>
      </c>
      <c r="E300" s="11"/>
      <c r="F300" s="11" t="s">
        <v>59</v>
      </c>
      <c r="G300" s="57" t="n">
        <v>10</v>
      </c>
      <c r="H300" s="58" t="n">
        <v>0</v>
      </c>
      <c r="I300" s="57">
        <f>G300*AO300</f>
      </c>
      <c r="J300" s="57">
        <f>G300*AP300</f>
      </c>
      <c r="K300" s="57">
        <f>G300*H300</f>
      </c>
      <c r="L300" s="59" t="s">
        <v>60</v>
      </c>
      <c r="Z300" s="57">
        <f>IF(AQ300="5",BJ300,0)</f>
      </c>
      <c r="AB300" s="57">
        <f>IF(AQ300="1",BH300,0)</f>
      </c>
      <c r="AC300" s="57">
        <f>IF(AQ300="1",BI300,0)</f>
      </c>
      <c r="AD300" s="57">
        <f>IF(AQ300="7",BH300,0)</f>
      </c>
      <c r="AE300" s="57">
        <f>IF(AQ300="7",BI300,0)</f>
      </c>
      <c r="AF300" s="57">
        <f>IF(AQ300="2",BH300,0)</f>
      </c>
      <c r="AG300" s="57">
        <f>IF(AQ300="2",BI300,0)</f>
      </c>
      <c r="AH300" s="57">
        <f>IF(AQ300="0",BJ300,0)</f>
      </c>
      <c r="AI300" s="33" t="s">
        <v>358</v>
      </c>
      <c r="AJ300" s="57">
        <f>IF(AN300=0,K300,0)</f>
      </c>
      <c r="AK300" s="57">
        <f>IF(AN300=12,K300,0)</f>
      </c>
      <c r="AL300" s="57">
        <f>IF(AN300=21,K300,0)</f>
      </c>
      <c r="AN300" s="57" t="n">
        <v>21</v>
      </c>
      <c r="AO300" s="57">
        <f>H300*0</f>
      </c>
      <c r="AP300" s="57">
        <f>H300*(1-0)</f>
      </c>
      <c r="AQ300" s="60" t="s">
        <v>56</v>
      </c>
      <c r="AV300" s="57">
        <f>AW300+AX300</f>
      </c>
      <c r="AW300" s="57">
        <f>G300*AO300</f>
      </c>
      <c r="AX300" s="57">
        <f>G300*AP300</f>
      </c>
      <c r="AY300" s="60" t="s">
        <v>116</v>
      </c>
      <c r="AZ300" s="60" t="s">
        <v>363</v>
      </c>
      <c r="BA300" s="33" t="s">
        <v>364</v>
      </c>
      <c r="BC300" s="57">
        <f>AW300+AX300</f>
      </c>
      <c r="BD300" s="57">
        <f>H300/(100-BE300)*100</f>
      </c>
      <c r="BE300" s="57" t="n">
        <v>0</v>
      </c>
      <c r="BF300" s="57">
        <f>300</f>
      </c>
      <c r="BH300" s="57">
        <f>G300*AO300</f>
      </c>
      <c r="BI300" s="57">
        <f>G300*AP300</f>
      </c>
      <c r="BJ300" s="57">
        <f>G300*H300</f>
      </c>
      <c r="BK300" s="57"/>
      <c r="BL300" s="57" t="n">
        <v>18</v>
      </c>
      <c r="BW300" s="57" t="n">
        <v>21</v>
      </c>
      <c r="BX300" s="16" t="s">
        <v>415</v>
      </c>
    </row>
    <row r="301" customHeight="true" ht="13.5">
      <c r="A301" s="61"/>
      <c r="C301" s="66" t="s">
        <v>69</v>
      </c>
      <c r="D301" s="67" t="s">
        <v>416</v>
      </c>
      <c r="E301" s="68"/>
      <c r="F301" s="68"/>
      <c r="G301" s="68"/>
      <c r="H301" s="69"/>
      <c r="I301" s="68"/>
      <c r="J301" s="68"/>
      <c r="K301" s="68"/>
      <c r="L301" s="70"/>
    </row>
    <row r="302">
      <c r="A302" s="10" t="s">
        <v>417</v>
      </c>
      <c r="B302" s="11" t="s">
        <v>358</v>
      </c>
      <c r="C302" s="11" t="s">
        <v>120</v>
      </c>
      <c r="D302" s="16" t="s">
        <v>121</v>
      </c>
      <c r="E302" s="11"/>
      <c r="F302" s="11" t="s">
        <v>59</v>
      </c>
      <c r="G302" s="57" t="n">
        <v>345.98</v>
      </c>
      <c r="H302" s="58" t="n">
        <v>0</v>
      </c>
      <c r="I302" s="57">
        <f>G302*AO302</f>
      </c>
      <c r="J302" s="57">
        <f>G302*AP302</f>
      </c>
      <c r="K302" s="57">
        <f>G302*H302</f>
      </c>
      <c r="L302" s="59" t="s">
        <v>60</v>
      </c>
      <c r="Z302" s="57">
        <f>IF(AQ302="5",BJ302,0)</f>
      </c>
      <c r="AB302" s="57">
        <f>IF(AQ302="1",BH302,0)</f>
      </c>
      <c r="AC302" s="57">
        <f>IF(AQ302="1",BI302,0)</f>
      </c>
      <c r="AD302" s="57">
        <f>IF(AQ302="7",BH302,0)</f>
      </c>
      <c r="AE302" s="57">
        <f>IF(AQ302="7",BI302,0)</f>
      </c>
      <c r="AF302" s="57">
        <f>IF(AQ302="2",BH302,0)</f>
      </c>
      <c r="AG302" s="57">
        <f>IF(AQ302="2",BI302,0)</f>
      </c>
      <c r="AH302" s="57">
        <f>IF(AQ302="0",BJ302,0)</f>
      </c>
      <c r="AI302" s="33" t="s">
        <v>358</v>
      </c>
      <c r="AJ302" s="57">
        <f>IF(AN302=0,K302,0)</f>
      </c>
      <c r="AK302" s="57">
        <f>IF(AN302=12,K302,0)</f>
      </c>
      <c r="AL302" s="57">
        <f>IF(AN302=21,K302,0)</f>
      </c>
      <c r="AN302" s="57" t="n">
        <v>21</v>
      </c>
      <c r="AO302" s="57">
        <f>H302*0</f>
      </c>
      <c r="AP302" s="57">
        <f>H302*(1-0)</f>
      </c>
      <c r="AQ302" s="60" t="s">
        <v>56</v>
      </c>
      <c r="AV302" s="57">
        <f>AW302+AX302</f>
      </c>
      <c r="AW302" s="57">
        <f>G302*AO302</f>
      </c>
      <c r="AX302" s="57">
        <f>G302*AP302</f>
      </c>
      <c r="AY302" s="60" t="s">
        <v>116</v>
      </c>
      <c r="AZ302" s="60" t="s">
        <v>363</v>
      </c>
      <c r="BA302" s="33" t="s">
        <v>364</v>
      </c>
      <c r="BC302" s="57">
        <f>AW302+AX302</f>
      </c>
      <c r="BD302" s="57">
        <f>H302/(100-BE302)*100</f>
      </c>
      <c r="BE302" s="57" t="n">
        <v>0</v>
      </c>
      <c r="BF302" s="57">
        <f>302</f>
      </c>
      <c r="BH302" s="57">
        <f>G302*AO302</f>
      </c>
      <c r="BI302" s="57">
        <f>G302*AP302</f>
      </c>
      <c r="BJ302" s="57">
        <f>G302*H302</f>
      </c>
      <c r="BK302" s="57"/>
      <c r="BL302" s="57" t="n">
        <v>18</v>
      </c>
      <c r="BW302" s="57" t="n">
        <v>21</v>
      </c>
      <c r="BX302" s="16" t="s">
        <v>121</v>
      </c>
    </row>
    <row r="303">
      <c r="A303" s="61"/>
      <c r="D303" s="62" t="s">
        <v>418</v>
      </c>
      <c r="E303" s="63" t="s">
        <v>51</v>
      </c>
      <c r="G303" s="64" t="n">
        <v>345.98</v>
      </c>
      <c r="L303" s="65"/>
    </row>
    <row r="304">
      <c r="A304" s="10" t="s">
        <v>419</v>
      </c>
      <c r="B304" s="11" t="s">
        <v>358</v>
      </c>
      <c r="C304" s="11" t="s">
        <v>123</v>
      </c>
      <c r="D304" s="16" t="s">
        <v>124</v>
      </c>
      <c r="E304" s="11"/>
      <c r="F304" s="11" t="s">
        <v>59</v>
      </c>
      <c r="G304" s="57" t="n">
        <v>30</v>
      </c>
      <c r="H304" s="58" t="n">
        <v>0</v>
      </c>
      <c r="I304" s="57">
        <f>G304*AO304</f>
      </c>
      <c r="J304" s="57">
        <f>G304*AP304</f>
      </c>
      <c r="K304" s="57">
        <f>G304*H304</f>
      </c>
      <c r="L304" s="59" t="s">
        <v>60</v>
      </c>
      <c r="Z304" s="57">
        <f>IF(AQ304="5",BJ304,0)</f>
      </c>
      <c r="AB304" s="57">
        <f>IF(AQ304="1",BH304,0)</f>
      </c>
      <c r="AC304" s="57">
        <f>IF(AQ304="1",BI304,0)</f>
      </c>
      <c r="AD304" s="57">
        <f>IF(AQ304="7",BH304,0)</f>
      </c>
      <c r="AE304" s="57">
        <f>IF(AQ304="7",BI304,0)</f>
      </c>
      <c r="AF304" s="57">
        <f>IF(AQ304="2",BH304,0)</f>
      </c>
      <c r="AG304" s="57">
        <f>IF(AQ304="2",BI304,0)</f>
      </c>
      <c r="AH304" s="57">
        <f>IF(AQ304="0",BJ304,0)</f>
      </c>
      <c r="AI304" s="33" t="s">
        <v>358</v>
      </c>
      <c r="AJ304" s="57">
        <f>IF(AN304=0,K304,0)</f>
      </c>
      <c r="AK304" s="57">
        <f>IF(AN304=12,K304,0)</f>
      </c>
      <c r="AL304" s="57">
        <f>IF(AN304=21,K304,0)</f>
      </c>
      <c r="AN304" s="57" t="n">
        <v>21</v>
      </c>
      <c r="AO304" s="57">
        <f>H304*0</f>
      </c>
      <c r="AP304" s="57">
        <f>H304*(1-0)</f>
      </c>
      <c r="AQ304" s="60" t="s">
        <v>56</v>
      </c>
      <c r="AV304" s="57">
        <f>AW304+AX304</f>
      </c>
      <c r="AW304" s="57">
        <f>G304*AO304</f>
      </c>
      <c r="AX304" s="57">
        <f>G304*AP304</f>
      </c>
      <c r="AY304" s="60" t="s">
        <v>116</v>
      </c>
      <c r="AZ304" s="60" t="s">
        <v>363</v>
      </c>
      <c r="BA304" s="33" t="s">
        <v>364</v>
      </c>
      <c r="BC304" s="57">
        <f>AW304+AX304</f>
      </c>
      <c r="BD304" s="57">
        <f>H304/(100-BE304)*100</f>
      </c>
      <c r="BE304" s="57" t="n">
        <v>0</v>
      </c>
      <c r="BF304" s="57">
        <f>304</f>
      </c>
      <c r="BH304" s="57">
        <f>G304*AO304</f>
      </c>
      <c r="BI304" s="57">
        <f>G304*AP304</f>
      </c>
      <c r="BJ304" s="57">
        <f>G304*H304</f>
      </c>
      <c r="BK304" s="57"/>
      <c r="BL304" s="57" t="n">
        <v>18</v>
      </c>
      <c r="BW304" s="57" t="n">
        <v>21</v>
      </c>
      <c r="BX304" s="16" t="s">
        <v>124</v>
      </c>
    </row>
    <row r="305">
      <c r="A305" s="10" t="s">
        <v>420</v>
      </c>
      <c r="B305" s="11" t="s">
        <v>358</v>
      </c>
      <c r="C305" s="11" t="s">
        <v>421</v>
      </c>
      <c r="D305" s="16" t="s">
        <v>422</v>
      </c>
      <c r="E305" s="11"/>
      <c r="F305" s="11" t="s">
        <v>59</v>
      </c>
      <c r="G305" s="57" t="n">
        <v>30</v>
      </c>
      <c r="H305" s="58" t="n">
        <v>0</v>
      </c>
      <c r="I305" s="57">
        <f>G305*AO305</f>
      </c>
      <c r="J305" s="57">
        <f>G305*AP305</f>
      </c>
      <c r="K305" s="57">
        <f>G305*H305</f>
      </c>
      <c r="L305" s="59" t="s">
        <v>60</v>
      </c>
      <c r="Z305" s="57">
        <f>IF(AQ305="5",BJ305,0)</f>
      </c>
      <c r="AB305" s="57">
        <f>IF(AQ305="1",BH305,0)</f>
      </c>
      <c r="AC305" s="57">
        <f>IF(AQ305="1",BI305,0)</f>
      </c>
      <c r="AD305" s="57">
        <f>IF(AQ305="7",BH305,0)</f>
      </c>
      <c r="AE305" s="57">
        <f>IF(AQ305="7",BI305,0)</f>
      </c>
      <c r="AF305" s="57">
        <f>IF(AQ305="2",BH305,0)</f>
      </c>
      <c r="AG305" s="57">
        <f>IF(AQ305="2",BI305,0)</f>
      </c>
      <c r="AH305" s="57">
        <f>IF(AQ305="0",BJ305,0)</f>
      </c>
      <c r="AI305" s="33" t="s">
        <v>358</v>
      </c>
      <c r="AJ305" s="57">
        <f>IF(AN305=0,K305,0)</f>
      </c>
      <c r="AK305" s="57">
        <f>IF(AN305=12,K305,0)</f>
      </c>
      <c r="AL305" s="57">
        <f>IF(AN305=21,K305,0)</f>
      </c>
      <c r="AN305" s="57" t="n">
        <v>21</v>
      </c>
      <c r="AO305" s="57">
        <f>H305*0</f>
      </c>
      <c r="AP305" s="57">
        <f>H305*(1-0)</f>
      </c>
      <c r="AQ305" s="60" t="s">
        <v>56</v>
      </c>
      <c r="AV305" s="57">
        <f>AW305+AX305</f>
      </c>
      <c r="AW305" s="57">
        <f>G305*AO305</f>
      </c>
      <c r="AX305" s="57">
        <f>G305*AP305</f>
      </c>
      <c r="AY305" s="60" t="s">
        <v>116</v>
      </c>
      <c r="AZ305" s="60" t="s">
        <v>363</v>
      </c>
      <c r="BA305" s="33" t="s">
        <v>364</v>
      </c>
      <c r="BC305" s="57">
        <f>AW305+AX305</f>
      </c>
      <c r="BD305" s="57">
        <f>H305/(100-BE305)*100</f>
      </c>
      <c r="BE305" s="57" t="n">
        <v>0</v>
      </c>
      <c r="BF305" s="57">
        <f>305</f>
      </c>
      <c r="BH305" s="57">
        <f>G305*AO305</f>
      </c>
      <c r="BI305" s="57">
        <f>G305*AP305</f>
      </c>
      <c r="BJ305" s="57">
        <f>G305*H305</f>
      </c>
      <c r="BK305" s="57"/>
      <c r="BL305" s="57" t="n">
        <v>18</v>
      </c>
      <c r="BW305" s="57" t="n">
        <v>21</v>
      </c>
      <c r="BX305" s="16" t="s">
        <v>422</v>
      </c>
    </row>
    <row r="306">
      <c r="A306" s="10" t="s">
        <v>423</v>
      </c>
      <c r="B306" s="11" t="s">
        <v>358</v>
      </c>
      <c r="C306" s="11" t="s">
        <v>424</v>
      </c>
      <c r="D306" s="16" t="s">
        <v>425</v>
      </c>
      <c r="E306" s="11"/>
      <c r="F306" s="11" t="s">
        <v>59</v>
      </c>
      <c r="G306" s="57" t="n">
        <v>30</v>
      </c>
      <c r="H306" s="58" t="n">
        <v>0</v>
      </c>
      <c r="I306" s="57">
        <f>G306*AO306</f>
      </c>
      <c r="J306" s="57">
        <f>G306*AP306</f>
      </c>
      <c r="K306" s="57">
        <f>G306*H306</f>
      </c>
      <c r="L306" s="59" t="s">
        <v>60</v>
      </c>
      <c r="Z306" s="57">
        <f>IF(AQ306="5",BJ306,0)</f>
      </c>
      <c r="AB306" s="57">
        <f>IF(AQ306="1",BH306,0)</f>
      </c>
      <c r="AC306" s="57">
        <f>IF(AQ306="1",BI306,0)</f>
      </c>
      <c r="AD306" s="57">
        <f>IF(AQ306="7",BH306,0)</f>
      </c>
      <c r="AE306" s="57">
        <f>IF(AQ306="7",BI306,0)</f>
      </c>
      <c r="AF306" s="57">
        <f>IF(AQ306="2",BH306,0)</f>
      </c>
      <c r="AG306" s="57">
        <f>IF(AQ306="2",BI306,0)</f>
      </c>
      <c r="AH306" s="57">
        <f>IF(AQ306="0",BJ306,0)</f>
      </c>
      <c r="AI306" s="33" t="s">
        <v>358</v>
      </c>
      <c r="AJ306" s="57">
        <f>IF(AN306=0,K306,0)</f>
      </c>
      <c r="AK306" s="57">
        <f>IF(AN306=12,K306,0)</f>
      </c>
      <c r="AL306" s="57">
        <f>IF(AN306=21,K306,0)</f>
      </c>
      <c r="AN306" s="57" t="n">
        <v>21</v>
      </c>
      <c r="AO306" s="57">
        <f>H306*0</f>
      </c>
      <c r="AP306" s="57">
        <f>H306*(1-0)</f>
      </c>
      <c r="AQ306" s="60" t="s">
        <v>56</v>
      </c>
      <c r="AV306" s="57">
        <f>AW306+AX306</f>
      </c>
      <c r="AW306" s="57">
        <f>G306*AO306</f>
      </c>
      <c r="AX306" s="57">
        <f>G306*AP306</f>
      </c>
      <c r="AY306" s="60" t="s">
        <v>116</v>
      </c>
      <c r="AZ306" s="60" t="s">
        <v>363</v>
      </c>
      <c r="BA306" s="33" t="s">
        <v>364</v>
      </c>
      <c r="BC306" s="57">
        <f>AW306+AX306</f>
      </c>
      <c r="BD306" s="57">
        <f>H306/(100-BE306)*100</f>
      </c>
      <c r="BE306" s="57" t="n">
        <v>0</v>
      </c>
      <c r="BF306" s="57">
        <f>306</f>
      </c>
      <c r="BH306" s="57">
        <f>G306*AO306</f>
      </c>
      <c r="BI306" s="57">
        <f>G306*AP306</f>
      </c>
      <c r="BJ306" s="57">
        <f>G306*H306</f>
      </c>
      <c r="BK306" s="57"/>
      <c r="BL306" s="57" t="n">
        <v>18</v>
      </c>
      <c r="BW306" s="57" t="n">
        <v>21</v>
      </c>
      <c r="BX306" s="16" t="s">
        <v>425</v>
      </c>
    </row>
    <row r="307">
      <c r="A307" s="51" t="s">
        <v>51</v>
      </c>
      <c r="B307" s="52" t="s">
        <v>358</v>
      </c>
      <c r="C307" s="52" t="s">
        <v>260</v>
      </c>
      <c r="D307" s="53" t="s">
        <v>426</v>
      </c>
      <c r="E307" s="52"/>
      <c r="F307" s="54" t="s">
        <v>4</v>
      </c>
      <c r="G307" s="54" t="s">
        <v>4</v>
      </c>
      <c r="H307" s="55" t="s">
        <v>4</v>
      </c>
      <c r="I307" s="2">
        <f>SUM(I308:I308)</f>
      </c>
      <c r="J307" s="2">
        <f>SUM(J308:J308)</f>
      </c>
      <c r="K307" s="2">
        <f>SUM(K308:K308)</f>
      </c>
      <c r="L307" s="56" t="s">
        <v>51</v>
      </c>
      <c r="AI307" s="33" t="s">
        <v>358</v>
      </c>
      <c r="AS307" s="2">
        <f>SUM(AJ308:AJ308)</f>
      </c>
      <c r="AT307" s="2">
        <f>SUM(AK308:AK308)</f>
      </c>
      <c r="AU307" s="2">
        <f>SUM(AL308:AL308)</f>
      </c>
    </row>
    <row r="308">
      <c r="A308" s="10" t="s">
        <v>427</v>
      </c>
      <c r="B308" s="11" t="s">
        <v>358</v>
      </c>
      <c r="C308" s="11" t="s">
        <v>428</v>
      </c>
      <c r="D308" s="16" t="s">
        <v>429</v>
      </c>
      <c r="E308" s="11"/>
      <c r="F308" s="11" t="s">
        <v>77</v>
      </c>
      <c r="G308" s="57" t="n">
        <v>0.9</v>
      </c>
      <c r="H308" s="58" t="n">
        <v>0</v>
      </c>
      <c r="I308" s="57">
        <f>G308*AO308</f>
      </c>
      <c r="J308" s="57">
        <f>G308*AP308</f>
      </c>
      <c r="K308" s="57">
        <f>G308*H308</f>
      </c>
      <c r="L308" s="59" t="s">
        <v>60</v>
      </c>
      <c r="Z308" s="57">
        <f>IF(AQ308="5",BJ308,0)</f>
      </c>
      <c r="AB308" s="57">
        <f>IF(AQ308="1",BH308,0)</f>
      </c>
      <c r="AC308" s="57">
        <f>IF(AQ308="1",BI308,0)</f>
      </c>
      <c r="AD308" s="57">
        <f>IF(AQ308="7",BH308,0)</f>
      </c>
      <c r="AE308" s="57">
        <f>IF(AQ308="7",BI308,0)</f>
      </c>
      <c r="AF308" s="57">
        <f>IF(AQ308="2",BH308,0)</f>
      </c>
      <c r="AG308" s="57">
        <f>IF(AQ308="2",BI308,0)</f>
      </c>
      <c r="AH308" s="57">
        <f>IF(AQ308="0",BJ308,0)</f>
      </c>
      <c r="AI308" s="33" t="s">
        <v>358</v>
      </c>
      <c r="AJ308" s="57">
        <f>IF(AN308=0,K308,0)</f>
      </c>
      <c r="AK308" s="57">
        <f>IF(AN308=12,K308,0)</f>
      </c>
      <c r="AL308" s="57">
        <f>IF(AN308=21,K308,0)</f>
      </c>
      <c r="AN308" s="57" t="n">
        <v>21</v>
      </c>
      <c r="AO308" s="57">
        <f>H308*0.633653484</f>
      </c>
      <c r="AP308" s="57">
        <f>H308*(1-0.633653484)</f>
      </c>
      <c r="AQ308" s="60" t="s">
        <v>56</v>
      </c>
      <c r="AV308" s="57">
        <f>AW308+AX308</f>
      </c>
      <c r="AW308" s="57">
        <f>G308*AO308</f>
      </c>
      <c r="AX308" s="57">
        <f>G308*AP308</f>
      </c>
      <c r="AY308" s="60" t="s">
        <v>430</v>
      </c>
      <c r="AZ308" s="60" t="s">
        <v>431</v>
      </c>
      <c r="BA308" s="33" t="s">
        <v>364</v>
      </c>
      <c r="BC308" s="57">
        <f>AW308+AX308</f>
      </c>
      <c r="BD308" s="57">
        <f>H308/(100-BE308)*100</f>
      </c>
      <c r="BE308" s="57" t="n">
        <v>0</v>
      </c>
      <c r="BF308" s="57">
        <f>308</f>
      </c>
      <c r="BH308" s="57">
        <f>G308*AO308</f>
      </c>
      <c r="BI308" s="57">
        <f>G308*AP308</f>
      </c>
      <c r="BJ308" s="57">
        <f>G308*H308</f>
      </c>
      <c r="BK308" s="57"/>
      <c r="BL308" s="57" t="n">
        <v>46</v>
      </c>
      <c r="BW308" s="57" t="n">
        <v>21</v>
      </c>
      <c r="BX308" s="16" t="s">
        <v>429</v>
      </c>
    </row>
    <row r="309" customHeight="true" ht="13.5">
      <c r="A309" s="61"/>
      <c r="C309" s="66" t="s">
        <v>69</v>
      </c>
      <c r="D309" s="67" t="s">
        <v>432</v>
      </c>
      <c r="E309" s="68"/>
      <c r="F309" s="68"/>
      <c r="G309" s="68"/>
      <c r="H309" s="69"/>
      <c r="I309" s="68"/>
      <c r="J309" s="68"/>
      <c r="K309" s="68"/>
      <c r="L309" s="70"/>
    </row>
    <row r="310">
      <c r="A310" s="61"/>
      <c r="D310" s="62" t="s">
        <v>433</v>
      </c>
      <c r="E310" s="63" t="s">
        <v>51</v>
      </c>
      <c r="G310" s="64" t="n">
        <v>0.9</v>
      </c>
      <c r="L310" s="65"/>
    </row>
    <row r="311">
      <c r="A311" s="51" t="s">
        <v>51</v>
      </c>
      <c r="B311" s="52" t="s">
        <v>358</v>
      </c>
      <c r="C311" s="52" t="s">
        <v>126</v>
      </c>
      <c r="D311" s="53" t="s">
        <v>127</v>
      </c>
      <c r="E311" s="52"/>
      <c r="F311" s="54" t="s">
        <v>4</v>
      </c>
      <c r="G311" s="54" t="s">
        <v>4</v>
      </c>
      <c r="H311" s="55" t="s">
        <v>4</v>
      </c>
      <c r="I311" s="2">
        <f>SUM(I312:I320)</f>
      </c>
      <c r="J311" s="2">
        <f>SUM(J312:J320)</f>
      </c>
      <c r="K311" s="2">
        <f>SUM(K312:K320)</f>
      </c>
      <c r="L311" s="56" t="s">
        <v>51</v>
      </c>
      <c r="AI311" s="33" t="s">
        <v>358</v>
      </c>
      <c r="AS311" s="2">
        <f>SUM(AJ312:AJ320)</f>
      </c>
      <c r="AT311" s="2">
        <f>SUM(AK312:AK320)</f>
      </c>
      <c r="AU311" s="2">
        <f>SUM(AL312:AL320)</f>
      </c>
    </row>
    <row r="312">
      <c r="A312" s="10" t="s">
        <v>434</v>
      </c>
      <c r="B312" s="11" t="s">
        <v>358</v>
      </c>
      <c r="C312" s="11" t="s">
        <v>129</v>
      </c>
      <c r="D312" s="16" t="s">
        <v>130</v>
      </c>
      <c r="E312" s="11"/>
      <c r="F312" s="11" t="s">
        <v>59</v>
      </c>
      <c r="G312" s="57" t="n">
        <v>48</v>
      </c>
      <c r="H312" s="58" t="n">
        <v>0</v>
      </c>
      <c r="I312" s="57">
        <f>G312*AO312</f>
      </c>
      <c r="J312" s="57">
        <f>G312*AP312</f>
      </c>
      <c r="K312" s="57">
        <f>G312*H312</f>
      </c>
      <c r="L312" s="59" t="s">
        <v>60</v>
      </c>
      <c r="Z312" s="57">
        <f>IF(AQ312="5",BJ312,0)</f>
      </c>
      <c r="AB312" s="57">
        <f>IF(AQ312="1",BH312,0)</f>
      </c>
      <c r="AC312" s="57">
        <f>IF(AQ312="1",BI312,0)</f>
      </c>
      <c r="AD312" s="57">
        <f>IF(AQ312="7",BH312,0)</f>
      </c>
      <c r="AE312" s="57">
        <f>IF(AQ312="7",BI312,0)</f>
      </c>
      <c r="AF312" s="57">
        <f>IF(AQ312="2",BH312,0)</f>
      </c>
      <c r="AG312" s="57">
        <f>IF(AQ312="2",BI312,0)</f>
      </c>
      <c r="AH312" s="57">
        <f>IF(AQ312="0",BJ312,0)</f>
      </c>
      <c r="AI312" s="33" t="s">
        <v>358</v>
      </c>
      <c r="AJ312" s="57">
        <f>IF(AN312=0,K312,0)</f>
      </c>
      <c r="AK312" s="57">
        <f>IF(AN312=12,K312,0)</f>
      </c>
      <c r="AL312" s="57">
        <f>IF(AN312=21,K312,0)</f>
      </c>
      <c r="AN312" s="57" t="n">
        <v>21</v>
      </c>
      <c r="AO312" s="57">
        <f>H312*0.781673307</f>
      </c>
      <c r="AP312" s="57">
        <f>H312*(1-0.781673307)</f>
      </c>
      <c r="AQ312" s="60" t="s">
        <v>56</v>
      </c>
      <c r="AV312" s="57">
        <f>AW312+AX312</f>
      </c>
      <c r="AW312" s="57">
        <f>G312*AO312</f>
      </c>
      <c r="AX312" s="57">
        <f>G312*AP312</f>
      </c>
      <c r="AY312" s="60" t="s">
        <v>131</v>
      </c>
      <c r="AZ312" s="60" t="s">
        <v>435</v>
      </c>
      <c r="BA312" s="33" t="s">
        <v>364</v>
      </c>
      <c r="BC312" s="57">
        <f>AW312+AX312</f>
      </c>
      <c r="BD312" s="57">
        <f>H312/(100-BE312)*100</f>
      </c>
      <c r="BE312" s="57" t="n">
        <v>0</v>
      </c>
      <c r="BF312" s="57">
        <f>312</f>
      </c>
      <c r="BH312" s="57">
        <f>G312*AO312</f>
      </c>
      <c r="BI312" s="57">
        <f>G312*AP312</f>
      </c>
      <c r="BJ312" s="57">
        <f>G312*H312</f>
      </c>
      <c r="BK312" s="57"/>
      <c r="BL312" s="57" t="n">
        <v>56</v>
      </c>
      <c r="BW312" s="57" t="n">
        <v>21</v>
      </c>
      <c r="BX312" s="16" t="s">
        <v>130</v>
      </c>
    </row>
    <row r="313" customHeight="true" ht="13.5">
      <c r="A313" s="61"/>
      <c r="C313" s="66" t="s">
        <v>69</v>
      </c>
      <c r="D313" s="67" t="s">
        <v>133</v>
      </c>
      <c r="E313" s="68"/>
      <c r="F313" s="68"/>
      <c r="G313" s="68"/>
      <c r="H313" s="69"/>
      <c r="I313" s="68"/>
      <c r="J313" s="68"/>
      <c r="K313" s="68"/>
      <c r="L313" s="70"/>
    </row>
    <row r="314">
      <c r="A314" s="61"/>
      <c r="D314" s="62" t="s">
        <v>436</v>
      </c>
      <c r="E314" s="63" t="s">
        <v>51</v>
      </c>
      <c r="G314" s="64" t="n">
        <v>48</v>
      </c>
      <c r="L314" s="65"/>
    </row>
    <row r="315">
      <c r="A315" s="10" t="s">
        <v>437</v>
      </c>
      <c r="B315" s="11" t="s">
        <v>358</v>
      </c>
      <c r="C315" s="11" t="s">
        <v>438</v>
      </c>
      <c r="D315" s="16" t="s">
        <v>439</v>
      </c>
      <c r="E315" s="11"/>
      <c r="F315" s="11" t="s">
        <v>59</v>
      </c>
      <c r="G315" s="57" t="n">
        <v>11</v>
      </c>
      <c r="H315" s="58" t="n">
        <v>0</v>
      </c>
      <c r="I315" s="57">
        <f>G315*AO315</f>
      </c>
      <c r="J315" s="57">
        <f>G315*AP315</f>
      </c>
      <c r="K315" s="57">
        <f>G315*H315</f>
      </c>
      <c r="L315" s="59" t="s">
        <v>60</v>
      </c>
      <c r="Z315" s="57">
        <f>IF(AQ315="5",BJ315,0)</f>
      </c>
      <c r="AB315" s="57">
        <f>IF(AQ315="1",BH315,0)</f>
      </c>
      <c r="AC315" s="57">
        <f>IF(AQ315="1",BI315,0)</f>
      </c>
      <c r="AD315" s="57">
        <f>IF(AQ315="7",BH315,0)</f>
      </c>
      <c r="AE315" s="57">
        <f>IF(AQ315="7",BI315,0)</f>
      </c>
      <c r="AF315" s="57">
        <f>IF(AQ315="2",BH315,0)</f>
      </c>
      <c r="AG315" s="57">
        <f>IF(AQ315="2",BI315,0)</f>
      </c>
      <c r="AH315" s="57">
        <f>IF(AQ315="0",BJ315,0)</f>
      </c>
      <c r="AI315" s="33" t="s">
        <v>358</v>
      </c>
      <c r="AJ315" s="57">
        <f>IF(AN315=0,K315,0)</f>
      </c>
      <c r="AK315" s="57">
        <f>IF(AN315=12,K315,0)</f>
      </c>
      <c r="AL315" s="57">
        <f>IF(AN315=21,K315,0)</f>
      </c>
      <c r="AN315" s="57" t="n">
        <v>21</v>
      </c>
      <c r="AO315" s="57">
        <f>H315*0.844923027</f>
      </c>
      <c r="AP315" s="57">
        <f>H315*(1-0.844923027)</f>
      </c>
      <c r="AQ315" s="60" t="s">
        <v>56</v>
      </c>
      <c r="AV315" s="57">
        <f>AW315+AX315</f>
      </c>
      <c r="AW315" s="57">
        <f>G315*AO315</f>
      </c>
      <c r="AX315" s="57">
        <f>G315*AP315</f>
      </c>
      <c r="AY315" s="60" t="s">
        <v>131</v>
      </c>
      <c r="AZ315" s="60" t="s">
        <v>435</v>
      </c>
      <c r="BA315" s="33" t="s">
        <v>364</v>
      </c>
      <c r="BC315" s="57">
        <f>AW315+AX315</f>
      </c>
      <c r="BD315" s="57">
        <f>H315/(100-BE315)*100</f>
      </c>
      <c r="BE315" s="57" t="n">
        <v>0</v>
      </c>
      <c r="BF315" s="57">
        <f>315</f>
      </c>
      <c r="BH315" s="57">
        <f>G315*AO315</f>
      </c>
      <c r="BI315" s="57">
        <f>G315*AP315</f>
      </c>
      <c r="BJ315" s="57">
        <f>G315*H315</f>
      </c>
      <c r="BK315" s="57"/>
      <c r="BL315" s="57" t="n">
        <v>56</v>
      </c>
      <c r="BW315" s="57" t="n">
        <v>21</v>
      </c>
      <c r="BX315" s="16" t="s">
        <v>439</v>
      </c>
    </row>
    <row r="316" customHeight="true" ht="13.5">
      <c r="A316" s="61"/>
      <c r="C316" s="66" t="s">
        <v>69</v>
      </c>
      <c r="D316" s="67" t="s">
        <v>138</v>
      </c>
      <c r="E316" s="68"/>
      <c r="F316" s="68"/>
      <c r="G316" s="68"/>
      <c r="H316" s="69"/>
      <c r="I316" s="68"/>
      <c r="J316" s="68"/>
      <c r="K316" s="68"/>
      <c r="L316" s="70"/>
    </row>
    <row r="317">
      <c r="A317" s="10" t="s">
        <v>440</v>
      </c>
      <c r="B317" s="11" t="s">
        <v>358</v>
      </c>
      <c r="C317" s="11" t="s">
        <v>441</v>
      </c>
      <c r="D317" s="16" t="s">
        <v>442</v>
      </c>
      <c r="E317" s="11"/>
      <c r="F317" s="11" t="s">
        <v>59</v>
      </c>
      <c r="G317" s="57" t="n">
        <v>319.5</v>
      </c>
      <c r="H317" s="58" t="n">
        <v>0</v>
      </c>
      <c r="I317" s="57">
        <f>G317*AO317</f>
      </c>
      <c r="J317" s="57">
        <f>G317*AP317</f>
      </c>
      <c r="K317" s="57">
        <f>G317*H317</f>
      </c>
      <c r="L317" s="59" t="s">
        <v>60</v>
      </c>
      <c r="Z317" s="57">
        <f>IF(AQ317="5",BJ317,0)</f>
      </c>
      <c r="AB317" s="57">
        <f>IF(AQ317="1",BH317,0)</f>
      </c>
      <c r="AC317" s="57">
        <f>IF(AQ317="1",BI317,0)</f>
      </c>
      <c r="AD317" s="57">
        <f>IF(AQ317="7",BH317,0)</f>
      </c>
      <c r="AE317" s="57">
        <f>IF(AQ317="7",BI317,0)</f>
      </c>
      <c r="AF317" s="57">
        <f>IF(AQ317="2",BH317,0)</f>
      </c>
      <c r="AG317" s="57">
        <f>IF(AQ317="2",BI317,0)</f>
      </c>
      <c r="AH317" s="57">
        <f>IF(AQ317="0",BJ317,0)</f>
      </c>
      <c r="AI317" s="33" t="s">
        <v>358</v>
      </c>
      <c r="AJ317" s="57">
        <f>IF(AN317=0,K317,0)</f>
      </c>
      <c r="AK317" s="57">
        <f>IF(AN317=12,K317,0)</f>
      </c>
      <c r="AL317" s="57">
        <f>IF(AN317=21,K317,0)</f>
      </c>
      <c r="AN317" s="57" t="n">
        <v>21</v>
      </c>
      <c r="AO317" s="57">
        <f>H317*0.867807309</f>
      </c>
      <c r="AP317" s="57">
        <f>H317*(1-0.867807309)</f>
      </c>
      <c r="AQ317" s="60" t="s">
        <v>56</v>
      </c>
      <c r="AV317" s="57">
        <f>AW317+AX317</f>
      </c>
      <c r="AW317" s="57">
        <f>G317*AO317</f>
      </c>
      <c r="AX317" s="57">
        <f>G317*AP317</f>
      </c>
      <c r="AY317" s="60" t="s">
        <v>131</v>
      </c>
      <c r="AZ317" s="60" t="s">
        <v>435</v>
      </c>
      <c r="BA317" s="33" t="s">
        <v>364</v>
      </c>
      <c r="BC317" s="57">
        <f>AW317+AX317</f>
      </c>
      <c r="BD317" s="57">
        <f>H317/(100-BE317)*100</f>
      </c>
      <c r="BE317" s="57" t="n">
        <v>0</v>
      </c>
      <c r="BF317" s="57">
        <f>317</f>
      </c>
      <c r="BH317" s="57">
        <f>G317*AO317</f>
      </c>
      <c r="BI317" s="57">
        <f>G317*AP317</f>
      </c>
      <c r="BJ317" s="57">
        <f>G317*H317</f>
      </c>
      <c r="BK317" s="57"/>
      <c r="BL317" s="57" t="n">
        <v>56</v>
      </c>
      <c r="BW317" s="57" t="n">
        <v>21</v>
      </c>
      <c r="BX317" s="16" t="s">
        <v>442</v>
      </c>
    </row>
    <row r="318" customHeight="true" ht="13.5">
      <c r="A318" s="61"/>
      <c r="C318" s="66" t="s">
        <v>69</v>
      </c>
      <c r="D318" s="67" t="s">
        <v>138</v>
      </c>
      <c r="E318" s="68"/>
      <c r="F318" s="68"/>
      <c r="G318" s="68"/>
      <c r="H318" s="69"/>
      <c r="I318" s="68"/>
      <c r="J318" s="68"/>
      <c r="K318" s="68"/>
      <c r="L318" s="70"/>
    </row>
    <row r="319">
      <c r="A319" s="61"/>
      <c r="D319" s="62" t="s">
        <v>443</v>
      </c>
      <c r="E319" s="63" t="s">
        <v>51</v>
      </c>
      <c r="G319" s="64" t="n">
        <v>319.5</v>
      </c>
      <c r="L319" s="65"/>
    </row>
    <row r="320">
      <c r="A320" s="10" t="s">
        <v>444</v>
      </c>
      <c r="B320" s="11" t="s">
        <v>358</v>
      </c>
      <c r="C320" s="11" t="s">
        <v>445</v>
      </c>
      <c r="D320" s="16" t="s">
        <v>446</v>
      </c>
      <c r="E320" s="11"/>
      <c r="F320" s="11" t="s">
        <v>59</v>
      </c>
      <c r="G320" s="57" t="n">
        <v>13.5</v>
      </c>
      <c r="H320" s="58" t="n">
        <v>0</v>
      </c>
      <c r="I320" s="57">
        <f>G320*AO320</f>
      </c>
      <c r="J320" s="57">
        <f>G320*AP320</f>
      </c>
      <c r="K320" s="57">
        <f>G320*H320</f>
      </c>
      <c r="L320" s="59" t="s">
        <v>60</v>
      </c>
      <c r="Z320" s="57">
        <f>IF(AQ320="5",BJ320,0)</f>
      </c>
      <c r="AB320" s="57">
        <f>IF(AQ320="1",BH320,0)</f>
      </c>
      <c r="AC320" s="57">
        <f>IF(AQ320="1",BI320,0)</f>
      </c>
      <c r="AD320" s="57">
        <f>IF(AQ320="7",BH320,0)</f>
      </c>
      <c r="AE320" s="57">
        <f>IF(AQ320="7",BI320,0)</f>
      </c>
      <c r="AF320" s="57">
        <f>IF(AQ320="2",BH320,0)</f>
      </c>
      <c r="AG320" s="57">
        <f>IF(AQ320="2",BI320,0)</f>
      </c>
      <c r="AH320" s="57">
        <f>IF(AQ320="0",BJ320,0)</f>
      </c>
      <c r="AI320" s="33" t="s">
        <v>358</v>
      </c>
      <c r="AJ320" s="57">
        <f>IF(AN320=0,K320,0)</f>
      </c>
      <c r="AK320" s="57">
        <f>IF(AN320=12,K320,0)</f>
      </c>
      <c r="AL320" s="57">
        <f>IF(AN320=21,K320,0)</f>
      </c>
      <c r="AN320" s="57" t="n">
        <v>21</v>
      </c>
      <c r="AO320" s="57">
        <f>H320*0</f>
      </c>
      <c r="AP320" s="57">
        <f>H320*(1-0)</f>
      </c>
      <c r="AQ320" s="60" t="s">
        <v>56</v>
      </c>
      <c r="AV320" s="57">
        <f>AW320+AX320</f>
      </c>
      <c r="AW320" s="57">
        <f>G320*AO320</f>
      </c>
      <c r="AX320" s="57">
        <f>G320*AP320</f>
      </c>
      <c r="AY320" s="60" t="s">
        <v>131</v>
      </c>
      <c r="AZ320" s="60" t="s">
        <v>435</v>
      </c>
      <c r="BA320" s="33" t="s">
        <v>364</v>
      </c>
      <c r="BC320" s="57">
        <f>AW320+AX320</f>
      </c>
      <c r="BD320" s="57">
        <f>H320/(100-BE320)*100</f>
      </c>
      <c r="BE320" s="57" t="n">
        <v>0</v>
      </c>
      <c r="BF320" s="57">
        <f>320</f>
      </c>
      <c r="BH320" s="57">
        <f>G320*AO320</f>
      </c>
      <c r="BI320" s="57">
        <f>G320*AP320</f>
      </c>
      <c r="BJ320" s="57">
        <f>G320*H320</f>
      </c>
      <c r="BK320" s="57"/>
      <c r="BL320" s="57" t="n">
        <v>56</v>
      </c>
      <c r="BW320" s="57" t="n">
        <v>21</v>
      </c>
      <c r="BX320" s="16" t="s">
        <v>446</v>
      </c>
    </row>
    <row r="321" customHeight="true" ht="13.5">
      <c r="A321" s="61"/>
      <c r="C321" s="66" t="s">
        <v>69</v>
      </c>
      <c r="D321" s="67" t="s">
        <v>447</v>
      </c>
      <c r="E321" s="68"/>
      <c r="F321" s="68"/>
      <c r="G321" s="68"/>
      <c r="H321" s="69"/>
      <c r="I321" s="68"/>
      <c r="J321" s="68"/>
      <c r="K321" s="68"/>
      <c r="L321" s="70"/>
    </row>
    <row r="322">
      <c r="A322" s="61"/>
      <c r="D322" s="62" t="s">
        <v>448</v>
      </c>
      <c r="E322" s="63" t="s">
        <v>51</v>
      </c>
      <c r="G322" s="64" t="n">
        <v>13.5</v>
      </c>
      <c r="L322" s="65"/>
    </row>
    <row r="323">
      <c r="A323" s="51" t="s">
        <v>51</v>
      </c>
      <c r="B323" s="52" t="s">
        <v>358</v>
      </c>
      <c r="C323" s="52" t="s">
        <v>252</v>
      </c>
      <c r="D323" s="53" t="s">
        <v>253</v>
      </c>
      <c r="E323" s="52"/>
      <c r="F323" s="54" t="s">
        <v>4</v>
      </c>
      <c r="G323" s="54" t="s">
        <v>4</v>
      </c>
      <c r="H323" s="55" t="s">
        <v>4</v>
      </c>
      <c r="I323" s="2">
        <f>SUM(I324:I326)</f>
      </c>
      <c r="J323" s="2">
        <f>SUM(J324:J326)</f>
      </c>
      <c r="K323" s="2">
        <f>SUM(K324:K326)</f>
      </c>
      <c r="L323" s="56" t="s">
        <v>51</v>
      </c>
      <c r="AI323" s="33" t="s">
        <v>358</v>
      </c>
      <c r="AS323" s="2">
        <f>SUM(AJ324:AJ326)</f>
      </c>
      <c r="AT323" s="2">
        <f>SUM(AK324:AK326)</f>
      </c>
      <c r="AU323" s="2">
        <f>SUM(AL324:AL326)</f>
      </c>
    </row>
    <row r="324">
      <c r="A324" s="10" t="s">
        <v>449</v>
      </c>
      <c r="B324" s="11" t="s">
        <v>358</v>
      </c>
      <c r="C324" s="11" t="s">
        <v>450</v>
      </c>
      <c r="D324" s="16" t="s">
        <v>451</v>
      </c>
      <c r="E324" s="11"/>
      <c r="F324" s="11" t="s">
        <v>452</v>
      </c>
      <c r="G324" s="57" t="n">
        <v>1</v>
      </c>
      <c r="H324" s="58" t="n">
        <v>0</v>
      </c>
      <c r="I324" s="57">
        <f>G324*AO324</f>
      </c>
      <c r="J324" s="57">
        <f>G324*AP324</f>
      </c>
      <c r="K324" s="57">
        <f>G324*H324</f>
      </c>
      <c r="L324" s="59" t="s">
        <v>453</v>
      </c>
      <c r="Z324" s="57">
        <f>IF(AQ324="5",BJ324,0)</f>
      </c>
      <c r="AB324" s="57">
        <f>IF(AQ324="1",BH324,0)</f>
      </c>
      <c r="AC324" s="57">
        <f>IF(AQ324="1",BI324,0)</f>
      </c>
      <c r="AD324" s="57">
        <f>IF(AQ324="7",BH324,0)</f>
      </c>
      <c r="AE324" s="57">
        <f>IF(AQ324="7",BI324,0)</f>
      </c>
      <c r="AF324" s="57">
        <f>IF(AQ324="2",BH324,0)</f>
      </c>
      <c r="AG324" s="57">
        <f>IF(AQ324="2",BI324,0)</f>
      </c>
      <c r="AH324" s="57">
        <f>IF(AQ324="0",BJ324,0)</f>
      </c>
      <c r="AI324" s="33" t="s">
        <v>358</v>
      </c>
      <c r="AJ324" s="57">
        <f>IF(AN324=0,K324,0)</f>
      </c>
      <c r="AK324" s="57">
        <f>IF(AN324=12,K324,0)</f>
      </c>
      <c r="AL324" s="57">
        <f>IF(AN324=21,K324,0)</f>
      </c>
      <c r="AN324" s="57" t="n">
        <v>21</v>
      </c>
      <c r="AO324" s="57">
        <f>H324*0</f>
      </c>
      <c r="AP324" s="57">
        <f>H324*(1-0)</f>
      </c>
      <c r="AQ324" s="60" t="s">
        <v>56</v>
      </c>
      <c r="AV324" s="57">
        <f>AW324+AX324</f>
      </c>
      <c r="AW324" s="57">
        <f>G324*AO324</f>
      </c>
      <c r="AX324" s="57">
        <f>G324*AP324</f>
      </c>
      <c r="AY324" s="60" t="s">
        <v>257</v>
      </c>
      <c r="AZ324" s="60" t="s">
        <v>435</v>
      </c>
      <c r="BA324" s="33" t="s">
        <v>364</v>
      </c>
      <c r="BC324" s="57">
        <f>AW324+AX324</f>
      </c>
      <c r="BD324" s="57">
        <f>H324/(100-BE324)*100</f>
      </c>
      <c r="BE324" s="57" t="n">
        <v>0</v>
      </c>
      <c r="BF324" s="57">
        <f>324</f>
      </c>
      <c r="BH324" s="57">
        <f>G324*AO324</f>
      </c>
      <c r="BI324" s="57">
        <f>G324*AP324</f>
      </c>
      <c r="BJ324" s="57">
        <f>G324*H324</f>
      </c>
      <c r="BK324" s="57"/>
      <c r="BL324" s="57" t="n">
        <v>57</v>
      </c>
      <c r="BW324" s="57" t="n">
        <v>21</v>
      </c>
      <c r="BX324" s="16" t="s">
        <v>451</v>
      </c>
    </row>
    <row r="325" customHeight="true" ht="13.5">
      <c r="A325" s="61"/>
      <c r="C325" s="66" t="s">
        <v>69</v>
      </c>
      <c r="D325" s="67" t="s">
        <v>454</v>
      </c>
      <c r="E325" s="68"/>
      <c r="F325" s="68"/>
      <c r="G325" s="68"/>
      <c r="H325" s="69"/>
      <c r="I325" s="68"/>
      <c r="J325" s="68"/>
      <c r="K325" s="68"/>
      <c r="L325" s="70"/>
    </row>
    <row r="326">
      <c r="A326" s="10" t="s">
        <v>455</v>
      </c>
      <c r="B326" s="11" t="s">
        <v>358</v>
      </c>
      <c r="C326" s="11" t="s">
        <v>255</v>
      </c>
      <c r="D326" s="16" t="s">
        <v>256</v>
      </c>
      <c r="E326" s="11"/>
      <c r="F326" s="11" t="s">
        <v>59</v>
      </c>
      <c r="G326" s="57" t="n">
        <v>33</v>
      </c>
      <c r="H326" s="58" t="n">
        <v>0</v>
      </c>
      <c r="I326" s="57">
        <f>G326*AO326</f>
      </c>
      <c r="J326" s="57">
        <f>G326*AP326</f>
      </c>
      <c r="K326" s="57">
        <f>G326*H326</f>
      </c>
      <c r="L326" s="59" t="s">
        <v>60</v>
      </c>
      <c r="Z326" s="57">
        <f>IF(AQ326="5",BJ326,0)</f>
      </c>
      <c r="AB326" s="57">
        <f>IF(AQ326="1",BH326,0)</f>
      </c>
      <c r="AC326" s="57">
        <f>IF(AQ326="1",BI326,0)</f>
      </c>
      <c r="AD326" s="57">
        <f>IF(AQ326="7",BH326,0)</f>
      </c>
      <c r="AE326" s="57">
        <f>IF(AQ326="7",BI326,0)</f>
      </c>
      <c r="AF326" s="57">
        <f>IF(AQ326="2",BH326,0)</f>
      </c>
      <c r="AG326" s="57">
        <f>IF(AQ326="2",BI326,0)</f>
      </c>
      <c r="AH326" s="57">
        <f>IF(AQ326="0",BJ326,0)</f>
      </c>
      <c r="AI326" s="33" t="s">
        <v>358</v>
      </c>
      <c r="AJ326" s="57">
        <f>IF(AN326=0,K326,0)</f>
      </c>
      <c r="AK326" s="57">
        <f>IF(AN326=12,K326,0)</f>
      </c>
      <c r="AL326" s="57">
        <f>IF(AN326=21,K326,0)</f>
      </c>
      <c r="AN326" s="57" t="n">
        <v>21</v>
      </c>
      <c r="AO326" s="57">
        <f>H326*0.228211382</f>
      </c>
      <c r="AP326" s="57">
        <f>H326*(1-0.228211382)</f>
      </c>
      <c r="AQ326" s="60" t="s">
        <v>56</v>
      </c>
      <c r="AV326" s="57">
        <f>AW326+AX326</f>
      </c>
      <c r="AW326" s="57">
        <f>G326*AO326</f>
      </c>
      <c r="AX326" s="57">
        <f>G326*AP326</f>
      </c>
      <c r="AY326" s="60" t="s">
        <v>257</v>
      </c>
      <c r="AZ326" s="60" t="s">
        <v>435</v>
      </c>
      <c r="BA326" s="33" t="s">
        <v>364</v>
      </c>
      <c r="BC326" s="57">
        <f>AW326+AX326</f>
      </c>
      <c r="BD326" s="57">
        <f>H326/(100-BE326)*100</f>
      </c>
      <c r="BE326" s="57" t="n">
        <v>0</v>
      </c>
      <c r="BF326" s="57">
        <f>326</f>
      </c>
      <c r="BH326" s="57">
        <f>G326*AO326</f>
      </c>
      <c r="BI326" s="57">
        <f>G326*AP326</f>
      </c>
      <c r="BJ326" s="57">
        <f>G326*H326</f>
      </c>
      <c r="BK326" s="57"/>
      <c r="BL326" s="57" t="n">
        <v>57</v>
      </c>
      <c r="BW326" s="57" t="n">
        <v>21</v>
      </c>
      <c r="BX326" s="16" t="s">
        <v>256</v>
      </c>
    </row>
    <row r="327" customHeight="true" ht="13.5">
      <c r="A327" s="61"/>
      <c r="C327" s="66" t="s">
        <v>69</v>
      </c>
      <c r="D327" s="67" t="s">
        <v>456</v>
      </c>
      <c r="E327" s="68"/>
      <c r="F327" s="68"/>
      <c r="G327" s="68"/>
      <c r="H327" s="69"/>
      <c r="I327" s="68"/>
      <c r="J327" s="68"/>
      <c r="K327" s="68"/>
      <c r="L327" s="70"/>
    </row>
    <row r="328">
      <c r="A328" s="61"/>
      <c r="D328" s="62" t="s">
        <v>457</v>
      </c>
      <c r="E328" s="63" t="s">
        <v>51</v>
      </c>
      <c r="G328" s="64" t="n">
        <v>33</v>
      </c>
      <c r="L328" s="65"/>
    </row>
    <row r="329">
      <c r="A329" s="51" t="s">
        <v>51</v>
      </c>
      <c r="B329" s="52" t="s">
        <v>358</v>
      </c>
      <c r="C329" s="52" t="s">
        <v>139</v>
      </c>
      <c r="D329" s="53" t="s">
        <v>140</v>
      </c>
      <c r="E329" s="52"/>
      <c r="F329" s="54" t="s">
        <v>4</v>
      </c>
      <c r="G329" s="54" t="s">
        <v>4</v>
      </c>
      <c r="H329" s="55" t="s">
        <v>4</v>
      </c>
      <c r="I329" s="2">
        <f>SUM(I330:I348)</f>
      </c>
      <c r="J329" s="2">
        <f>SUM(J330:J348)</f>
      </c>
      <c r="K329" s="2">
        <f>SUM(K330:K348)</f>
      </c>
      <c r="L329" s="56" t="s">
        <v>51</v>
      </c>
      <c r="AI329" s="33" t="s">
        <v>358</v>
      </c>
      <c r="AS329" s="2">
        <f>SUM(AJ330:AJ348)</f>
      </c>
      <c r="AT329" s="2">
        <f>SUM(AK330:AK348)</f>
      </c>
      <c r="AU329" s="2">
        <f>SUM(AL330:AL348)</f>
      </c>
    </row>
    <row r="330">
      <c r="A330" s="10" t="s">
        <v>458</v>
      </c>
      <c r="B330" s="11" t="s">
        <v>358</v>
      </c>
      <c r="C330" s="11" t="s">
        <v>459</v>
      </c>
      <c r="D330" s="16" t="s">
        <v>460</v>
      </c>
      <c r="E330" s="11"/>
      <c r="F330" s="11" t="s">
        <v>59</v>
      </c>
      <c r="G330" s="57" t="n">
        <v>10.1</v>
      </c>
      <c r="H330" s="58" t="n">
        <v>0</v>
      </c>
      <c r="I330" s="57">
        <f>G330*AO330</f>
      </c>
      <c r="J330" s="57">
        <f>G330*AP330</f>
      </c>
      <c r="K330" s="57">
        <f>G330*H330</f>
      </c>
      <c r="L330" s="59" t="s">
        <v>60</v>
      </c>
      <c r="Z330" s="57">
        <f>IF(AQ330="5",BJ330,0)</f>
      </c>
      <c r="AB330" s="57">
        <f>IF(AQ330="1",BH330,0)</f>
      </c>
      <c r="AC330" s="57">
        <f>IF(AQ330="1",BI330,0)</f>
      </c>
      <c r="AD330" s="57">
        <f>IF(AQ330="7",BH330,0)</f>
      </c>
      <c r="AE330" s="57">
        <f>IF(AQ330="7",BI330,0)</f>
      </c>
      <c r="AF330" s="57">
        <f>IF(AQ330="2",BH330,0)</f>
      </c>
      <c r="AG330" s="57">
        <f>IF(AQ330="2",BI330,0)</f>
      </c>
      <c r="AH330" s="57">
        <f>IF(AQ330="0",BJ330,0)</f>
      </c>
      <c r="AI330" s="33" t="s">
        <v>358</v>
      </c>
      <c r="AJ330" s="57">
        <f>IF(AN330=0,K330,0)</f>
      </c>
      <c r="AK330" s="57">
        <f>IF(AN330=12,K330,0)</f>
      </c>
      <c r="AL330" s="57">
        <f>IF(AN330=21,K330,0)</f>
      </c>
      <c r="AN330" s="57" t="n">
        <v>21</v>
      </c>
      <c r="AO330" s="57">
        <f>H330*0.128964451</f>
      </c>
      <c r="AP330" s="57">
        <f>H330*(1-0.128964451)</f>
      </c>
      <c r="AQ330" s="60" t="s">
        <v>56</v>
      </c>
      <c r="AV330" s="57">
        <f>AW330+AX330</f>
      </c>
      <c r="AW330" s="57">
        <f>G330*AO330</f>
      </c>
      <c r="AX330" s="57">
        <f>G330*AP330</f>
      </c>
      <c r="AY330" s="60" t="s">
        <v>144</v>
      </c>
      <c r="AZ330" s="60" t="s">
        <v>435</v>
      </c>
      <c r="BA330" s="33" t="s">
        <v>364</v>
      </c>
      <c r="BC330" s="57">
        <f>AW330+AX330</f>
      </c>
      <c r="BD330" s="57">
        <f>H330/(100-BE330)*100</f>
      </c>
      <c r="BE330" s="57" t="n">
        <v>0</v>
      </c>
      <c r="BF330" s="57">
        <f>330</f>
      </c>
      <c r="BH330" s="57">
        <f>G330*AO330</f>
      </c>
      <c r="BI330" s="57">
        <f>G330*AP330</f>
      </c>
      <c r="BJ330" s="57">
        <f>G330*H330</f>
      </c>
      <c r="BK330" s="57"/>
      <c r="BL330" s="57" t="n">
        <v>59</v>
      </c>
      <c r="BW330" s="57" t="n">
        <v>21</v>
      </c>
      <c r="BX330" s="16" t="s">
        <v>460</v>
      </c>
    </row>
    <row r="331">
      <c r="A331" s="10" t="s">
        <v>461</v>
      </c>
      <c r="B331" s="11" t="s">
        <v>358</v>
      </c>
      <c r="C331" s="11" t="s">
        <v>142</v>
      </c>
      <c r="D331" s="16" t="s">
        <v>143</v>
      </c>
      <c r="E331" s="11"/>
      <c r="F331" s="11" t="s">
        <v>59</v>
      </c>
      <c r="G331" s="57" t="n">
        <v>319.5</v>
      </c>
      <c r="H331" s="58" t="n">
        <v>0</v>
      </c>
      <c r="I331" s="57">
        <f>G331*AO331</f>
      </c>
      <c r="J331" s="57">
        <f>G331*AP331</f>
      </c>
      <c r="K331" s="57">
        <f>G331*H331</f>
      </c>
      <c r="L331" s="59" t="s">
        <v>60</v>
      </c>
      <c r="Z331" s="57">
        <f>IF(AQ331="5",BJ331,0)</f>
      </c>
      <c r="AB331" s="57">
        <f>IF(AQ331="1",BH331,0)</f>
      </c>
      <c r="AC331" s="57">
        <f>IF(AQ331="1",BI331,0)</f>
      </c>
      <c r="AD331" s="57">
        <f>IF(AQ331="7",BH331,0)</f>
      </c>
      <c r="AE331" s="57">
        <f>IF(AQ331="7",BI331,0)</f>
      </c>
      <c r="AF331" s="57">
        <f>IF(AQ331="2",BH331,0)</f>
      </c>
      <c r="AG331" s="57">
        <f>IF(AQ331="2",BI331,0)</f>
      </c>
      <c r="AH331" s="57">
        <f>IF(AQ331="0",BJ331,0)</f>
      </c>
      <c r="AI331" s="33" t="s">
        <v>358</v>
      </c>
      <c r="AJ331" s="57">
        <f>IF(AN331=0,K331,0)</f>
      </c>
      <c r="AK331" s="57">
        <f>IF(AN331=12,K331,0)</f>
      </c>
      <c r="AL331" s="57">
        <f>IF(AN331=21,K331,0)</f>
      </c>
      <c r="AN331" s="57" t="n">
        <v>21</v>
      </c>
      <c r="AO331" s="57">
        <f>H331*0.154257975</f>
      </c>
      <c r="AP331" s="57">
        <f>H331*(1-0.154257975)</f>
      </c>
      <c r="AQ331" s="60" t="s">
        <v>56</v>
      </c>
      <c r="AV331" s="57">
        <f>AW331+AX331</f>
      </c>
      <c r="AW331" s="57">
        <f>G331*AO331</f>
      </c>
      <c r="AX331" s="57">
        <f>G331*AP331</f>
      </c>
      <c r="AY331" s="60" t="s">
        <v>144</v>
      </c>
      <c r="AZ331" s="60" t="s">
        <v>435</v>
      </c>
      <c r="BA331" s="33" t="s">
        <v>364</v>
      </c>
      <c r="BC331" s="57">
        <f>AW331+AX331</f>
      </c>
      <c r="BD331" s="57">
        <f>H331/(100-BE331)*100</f>
      </c>
      <c r="BE331" s="57" t="n">
        <v>0</v>
      </c>
      <c r="BF331" s="57">
        <f>331</f>
      </c>
      <c r="BH331" s="57">
        <f>G331*AO331</f>
      </c>
      <c r="BI331" s="57">
        <f>G331*AP331</f>
      </c>
      <c r="BJ331" s="57">
        <f>G331*H331</f>
      </c>
      <c r="BK331" s="57"/>
      <c r="BL331" s="57" t="n">
        <v>59</v>
      </c>
      <c r="BW331" s="57" t="n">
        <v>21</v>
      </c>
      <c r="BX331" s="16" t="s">
        <v>143</v>
      </c>
    </row>
    <row r="332" customHeight="true" ht="13.5">
      <c r="A332" s="61"/>
      <c r="C332" s="66" t="s">
        <v>69</v>
      </c>
      <c r="D332" s="67" t="s">
        <v>462</v>
      </c>
      <c r="E332" s="68"/>
      <c r="F332" s="68"/>
      <c r="G332" s="68"/>
      <c r="H332" s="69"/>
      <c r="I332" s="68"/>
      <c r="J332" s="68"/>
      <c r="K332" s="68"/>
      <c r="L332" s="70"/>
    </row>
    <row r="333">
      <c r="A333" s="61"/>
      <c r="D333" s="62" t="s">
        <v>443</v>
      </c>
      <c r="E333" s="63" t="s">
        <v>51</v>
      </c>
      <c r="G333" s="64" t="n">
        <v>319.5</v>
      </c>
      <c r="L333" s="65"/>
    </row>
    <row r="334">
      <c r="A334" s="10" t="s">
        <v>463</v>
      </c>
      <c r="B334" s="11" t="s">
        <v>358</v>
      </c>
      <c r="C334" s="11" t="s">
        <v>464</v>
      </c>
      <c r="D334" s="16" t="s">
        <v>465</v>
      </c>
      <c r="E334" s="11"/>
      <c r="F334" s="11" t="s">
        <v>68</v>
      </c>
      <c r="G334" s="57" t="n">
        <v>6</v>
      </c>
      <c r="H334" s="58" t="n">
        <v>0</v>
      </c>
      <c r="I334" s="57">
        <f>G334*AO334</f>
      </c>
      <c r="J334" s="57">
        <f>G334*AP334</f>
      </c>
      <c r="K334" s="57">
        <f>G334*H334</f>
      </c>
      <c r="L334" s="59" t="s">
        <v>60</v>
      </c>
      <c r="Z334" s="57">
        <f>IF(AQ334="5",BJ334,0)</f>
      </c>
      <c r="AB334" s="57">
        <f>IF(AQ334="1",BH334,0)</f>
      </c>
      <c r="AC334" s="57">
        <f>IF(AQ334="1",BI334,0)</f>
      </c>
      <c r="AD334" s="57">
        <f>IF(AQ334="7",BH334,0)</f>
      </c>
      <c r="AE334" s="57">
        <f>IF(AQ334="7",BI334,0)</f>
      </c>
      <c r="AF334" s="57">
        <f>IF(AQ334="2",BH334,0)</f>
      </c>
      <c r="AG334" s="57">
        <f>IF(AQ334="2",BI334,0)</f>
      </c>
      <c r="AH334" s="57">
        <f>IF(AQ334="0",BJ334,0)</f>
      </c>
      <c r="AI334" s="33" t="s">
        <v>358</v>
      </c>
      <c r="AJ334" s="57">
        <f>IF(AN334=0,K334,0)</f>
      </c>
      <c r="AK334" s="57">
        <f>IF(AN334=12,K334,0)</f>
      </c>
      <c r="AL334" s="57">
        <f>IF(AN334=21,K334,0)</f>
      </c>
      <c r="AN334" s="57" t="n">
        <v>21</v>
      </c>
      <c r="AO334" s="57">
        <f>H334*0.049612142</f>
      </c>
      <c r="AP334" s="57">
        <f>H334*(1-0.049612142)</f>
      </c>
      <c r="AQ334" s="60" t="s">
        <v>56</v>
      </c>
      <c r="AV334" s="57">
        <f>AW334+AX334</f>
      </c>
      <c r="AW334" s="57">
        <f>G334*AO334</f>
      </c>
      <c r="AX334" s="57">
        <f>G334*AP334</f>
      </c>
      <c r="AY334" s="60" t="s">
        <v>144</v>
      </c>
      <c r="AZ334" s="60" t="s">
        <v>435</v>
      </c>
      <c r="BA334" s="33" t="s">
        <v>364</v>
      </c>
      <c r="BC334" s="57">
        <f>AW334+AX334</f>
      </c>
      <c r="BD334" s="57">
        <f>H334/(100-BE334)*100</f>
      </c>
      <c r="BE334" s="57" t="n">
        <v>0</v>
      </c>
      <c r="BF334" s="57">
        <f>334</f>
      </c>
      <c r="BH334" s="57">
        <f>G334*AO334</f>
      </c>
      <c r="BI334" s="57">
        <f>G334*AP334</f>
      </c>
      <c r="BJ334" s="57">
        <f>G334*H334</f>
      </c>
      <c r="BK334" s="57"/>
      <c r="BL334" s="57" t="n">
        <v>59</v>
      </c>
      <c r="BW334" s="57" t="n">
        <v>21</v>
      </c>
      <c r="BX334" s="16" t="s">
        <v>465</v>
      </c>
    </row>
    <row r="335">
      <c r="A335" s="10" t="s">
        <v>466</v>
      </c>
      <c r="B335" s="11" t="s">
        <v>358</v>
      </c>
      <c r="C335" s="11" t="s">
        <v>146</v>
      </c>
      <c r="D335" s="16" t="s">
        <v>147</v>
      </c>
      <c r="E335" s="11"/>
      <c r="F335" s="11" t="s">
        <v>68</v>
      </c>
      <c r="G335" s="57" t="n">
        <v>120</v>
      </c>
      <c r="H335" s="58" t="n">
        <v>0</v>
      </c>
      <c r="I335" s="57">
        <f>G335*AO335</f>
      </c>
      <c r="J335" s="57">
        <f>G335*AP335</f>
      </c>
      <c r="K335" s="57">
        <f>G335*H335</f>
      </c>
      <c r="L335" s="59" t="s">
        <v>60</v>
      </c>
      <c r="Z335" s="57">
        <f>IF(AQ335="5",BJ335,0)</f>
      </c>
      <c r="AB335" s="57">
        <f>IF(AQ335="1",BH335,0)</f>
      </c>
      <c r="AC335" s="57">
        <f>IF(AQ335="1",BI335,0)</f>
      </c>
      <c r="AD335" s="57">
        <f>IF(AQ335="7",BH335,0)</f>
      </c>
      <c r="AE335" s="57">
        <f>IF(AQ335="7",BI335,0)</f>
      </c>
      <c r="AF335" s="57">
        <f>IF(AQ335="2",BH335,0)</f>
      </c>
      <c r="AG335" s="57">
        <f>IF(AQ335="2",BI335,0)</f>
      </c>
      <c r="AH335" s="57">
        <f>IF(AQ335="0",BJ335,0)</f>
      </c>
      <c r="AI335" s="33" t="s">
        <v>358</v>
      </c>
      <c r="AJ335" s="57">
        <f>IF(AN335=0,K335,0)</f>
      </c>
      <c r="AK335" s="57">
        <f>IF(AN335=12,K335,0)</f>
      </c>
      <c r="AL335" s="57">
        <f>IF(AN335=21,K335,0)</f>
      </c>
      <c r="AN335" s="57" t="n">
        <v>21</v>
      </c>
      <c r="AO335" s="57">
        <f>H335*0.051456</f>
      </c>
      <c r="AP335" s="57">
        <f>H335*(1-0.051456)</f>
      </c>
      <c r="AQ335" s="60" t="s">
        <v>56</v>
      </c>
      <c r="AV335" s="57">
        <f>AW335+AX335</f>
      </c>
      <c r="AW335" s="57">
        <f>G335*AO335</f>
      </c>
      <c r="AX335" s="57">
        <f>G335*AP335</f>
      </c>
      <c r="AY335" s="60" t="s">
        <v>144</v>
      </c>
      <c r="AZ335" s="60" t="s">
        <v>435</v>
      </c>
      <c r="BA335" s="33" t="s">
        <v>364</v>
      </c>
      <c r="BC335" s="57">
        <f>AW335+AX335</f>
      </c>
      <c r="BD335" s="57">
        <f>H335/(100-BE335)*100</f>
      </c>
      <c r="BE335" s="57" t="n">
        <v>0</v>
      </c>
      <c r="BF335" s="57">
        <f>335</f>
      </c>
      <c r="BH335" s="57">
        <f>G335*AO335</f>
      </c>
      <c r="BI335" s="57">
        <f>G335*AP335</f>
      </c>
      <c r="BJ335" s="57">
        <f>G335*H335</f>
      </c>
      <c r="BK335" s="57"/>
      <c r="BL335" s="57" t="n">
        <v>59</v>
      </c>
      <c r="BW335" s="57" t="n">
        <v>21</v>
      </c>
      <c r="BX335" s="16" t="s">
        <v>147</v>
      </c>
    </row>
    <row r="336">
      <c r="A336" s="10" t="s">
        <v>467</v>
      </c>
      <c r="B336" s="11" t="s">
        <v>358</v>
      </c>
      <c r="C336" s="11" t="s">
        <v>468</v>
      </c>
      <c r="D336" s="16" t="s">
        <v>469</v>
      </c>
      <c r="E336" s="11"/>
      <c r="F336" s="11" t="s">
        <v>59</v>
      </c>
      <c r="G336" s="57" t="n">
        <v>0.9</v>
      </c>
      <c r="H336" s="58" t="n">
        <v>0</v>
      </c>
      <c r="I336" s="57">
        <f>G336*AO336</f>
      </c>
      <c r="J336" s="57">
        <f>G336*AP336</f>
      </c>
      <c r="K336" s="57">
        <f>G336*H336</f>
      </c>
      <c r="L336" s="59" t="s">
        <v>60</v>
      </c>
      <c r="Z336" s="57">
        <f>IF(AQ336="5",BJ336,0)</f>
      </c>
      <c r="AB336" s="57">
        <f>IF(AQ336="1",BH336,0)</f>
      </c>
      <c r="AC336" s="57">
        <f>IF(AQ336="1",BI336,0)</f>
      </c>
      <c r="AD336" s="57">
        <f>IF(AQ336="7",BH336,0)</f>
      </c>
      <c r="AE336" s="57">
        <f>IF(AQ336="7",BI336,0)</f>
      </c>
      <c r="AF336" s="57">
        <f>IF(AQ336="2",BH336,0)</f>
      </c>
      <c r="AG336" s="57">
        <f>IF(AQ336="2",BI336,0)</f>
      </c>
      <c r="AH336" s="57">
        <f>IF(AQ336="0",BJ336,0)</f>
      </c>
      <c r="AI336" s="33" t="s">
        <v>358</v>
      </c>
      <c r="AJ336" s="57">
        <f>IF(AN336=0,K336,0)</f>
      </c>
      <c r="AK336" s="57">
        <f>IF(AN336=12,K336,0)</f>
      </c>
      <c r="AL336" s="57">
        <f>IF(AN336=21,K336,0)</f>
      </c>
      <c r="AN336" s="57" t="n">
        <v>21</v>
      </c>
      <c r="AO336" s="57">
        <f>H336*0.14868984</f>
      </c>
      <c r="AP336" s="57">
        <f>H336*(1-0.14868984)</f>
      </c>
      <c r="AQ336" s="60" t="s">
        <v>56</v>
      </c>
      <c r="AV336" s="57">
        <f>AW336+AX336</f>
      </c>
      <c r="AW336" s="57">
        <f>G336*AO336</f>
      </c>
      <c r="AX336" s="57">
        <f>G336*AP336</f>
      </c>
      <c r="AY336" s="60" t="s">
        <v>144</v>
      </c>
      <c r="AZ336" s="60" t="s">
        <v>435</v>
      </c>
      <c r="BA336" s="33" t="s">
        <v>364</v>
      </c>
      <c r="BC336" s="57">
        <f>AW336+AX336</f>
      </c>
      <c r="BD336" s="57">
        <f>H336/(100-BE336)*100</f>
      </c>
      <c r="BE336" s="57" t="n">
        <v>0</v>
      </c>
      <c r="BF336" s="57">
        <f>336</f>
      </c>
      <c r="BH336" s="57">
        <f>G336*AO336</f>
      </c>
      <c r="BI336" s="57">
        <f>G336*AP336</f>
      </c>
      <c r="BJ336" s="57">
        <f>G336*H336</f>
      </c>
      <c r="BK336" s="57"/>
      <c r="BL336" s="57" t="n">
        <v>59</v>
      </c>
      <c r="BW336" s="57" t="n">
        <v>21</v>
      </c>
      <c r="BX336" s="16" t="s">
        <v>469</v>
      </c>
    </row>
    <row r="337" ht="24.75">
      <c r="A337" s="10" t="s">
        <v>470</v>
      </c>
      <c r="B337" s="11" t="s">
        <v>358</v>
      </c>
      <c r="C337" s="11" t="s">
        <v>148</v>
      </c>
      <c r="D337" s="16" t="s">
        <v>149</v>
      </c>
      <c r="E337" s="11"/>
      <c r="F337" s="11" t="s">
        <v>77</v>
      </c>
      <c r="G337" s="57" t="n">
        <v>6.68</v>
      </c>
      <c r="H337" s="58" t="n">
        <v>0</v>
      </c>
      <c r="I337" s="57">
        <f>G337*AO337</f>
      </c>
      <c r="J337" s="57">
        <f>G337*AP337</f>
      </c>
      <c r="K337" s="57">
        <f>G337*H337</f>
      </c>
      <c r="L337" s="59" t="s">
        <v>60</v>
      </c>
      <c r="Z337" s="57">
        <f>IF(AQ337="5",BJ337,0)</f>
      </c>
      <c r="AB337" s="57">
        <f>IF(AQ337="1",BH337,0)</f>
      </c>
      <c r="AC337" s="57">
        <f>IF(AQ337="1",BI337,0)</f>
      </c>
      <c r="AD337" s="57">
        <f>IF(AQ337="7",BH337,0)</f>
      </c>
      <c r="AE337" s="57">
        <f>IF(AQ337="7",BI337,0)</f>
      </c>
      <c r="AF337" s="57">
        <f>IF(AQ337="2",BH337,0)</f>
      </c>
      <c r="AG337" s="57">
        <f>IF(AQ337="2",BI337,0)</f>
      </c>
      <c r="AH337" s="57">
        <f>IF(AQ337="0",BJ337,0)</f>
      </c>
      <c r="AI337" s="33" t="s">
        <v>358</v>
      </c>
      <c r="AJ337" s="57">
        <f>IF(AN337=0,K337,0)</f>
      </c>
      <c r="AK337" s="57">
        <f>IF(AN337=12,K337,0)</f>
      </c>
      <c r="AL337" s="57">
        <f>IF(AN337=21,K337,0)</f>
      </c>
      <c r="AN337" s="57" t="n">
        <v>21</v>
      </c>
      <c r="AO337" s="57">
        <f>H337*0</f>
      </c>
      <c r="AP337" s="57">
        <f>H337*(1-0)</f>
      </c>
      <c r="AQ337" s="60" t="s">
        <v>56</v>
      </c>
      <c r="AV337" s="57">
        <f>AW337+AX337</f>
      </c>
      <c r="AW337" s="57">
        <f>G337*AO337</f>
      </c>
      <c r="AX337" s="57">
        <f>G337*AP337</f>
      </c>
      <c r="AY337" s="60" t="s">
        <v>144</v>
      </c>
      <c r="AZ337" s="60" t="s">
        <v>435</v>
      </c>
      <c r="BA337" s="33" t="s">
        <v>364</v>
      </c>
      <c r="BC337" s="57">
        <f>AW337+AX337</f>
      </c>
      <c r="BD337" s="57">
        <f>H337/(100-BE337)*100</f>
      </c>
      <c r="BE337" s="57" t="n">
        <v>0</v>
      </c>
      <c r="BF337" s="57">
        <f>337</f>
      </c>
      <c r="BH337" s="57">
        <f>G337*AO337</f>
      </c>
      <c r="BI337" s="57">
        <f>G337*AP337</f>
      </c>
      <c r="BJ337" s="57">
        <f>G337*H337</f>
      </c>
      <c r="BK337" s="57"/>
      <c r="BL337" s="57" t="n">
        <v>59</v>
      </c>
      <c r="BW337" s="57" t="n">
        <v>21</v>
      </c>
      <c r="BX337" s="16" t="s">
        <v>149</v>
      </c>
    </row>
    <row r="338">
      <c r="A338" s="61"/>
      <c r="D338" s="62" t="s">
        <v>471</v>
      </c>
      <c r="E338" s="63" t="s">
        <v>51</v>
      </c>
      <c r="G338" s="64" t="n">
        <v>6.68</v>
      </c>
      <c r="L338" s="65"/>
    </row>
    <row r="339">
      <c r="A339" s="10" t="s">
        <v>472</v>
      </c>
      <c r="B339" s="11" t="s">
        <v>358</v>
      </c>
      <c r="C339" s="11" t="s">
        <v>473</v>
      </c>
      <c r="D339" s="16" t="s">
        <v>474</v>
      </c>
      <c r="E339" s="11"/>
      <c r="F339" s="11" t="s">
        <v>207</v>
      </c>
      <c r="G339" s="57" t="n">
        <v>2</v>
      </c>
      <c r="H339" s="58" t="n">
        <v>0</v>
      </c>
      <c r="I339" s="57">
        <f>G339*AO339</f>
      </c>
      <c r="J339" s="57">
        <f>G339*AP339</f>
      </c>
      <c r="K339" s="57">
        <f>G339*H339</f>
      </c>
      <c r="L339" s="59" t="s">
        <v>60</v>
      </c>
      <c r="Z339" s="57">
        <f>IF(AQ339="5",BJ339,0)</f>
      </c>
      <c r="AB339" s="57">
        <f>IF(AQ339="1",BH339,0)</f>
      </c>
      <c r="AC339" s="57">
        <f>IF(AQ339="1",BI339,0)</f>
      </c>
      <c r="AD339" s="57">
        <f>IF(AQ339="7",BH339,0)</f>
      </c>
      <c r="AE339" s="57">
        <f>IF(AQ339="7",BI339,0)</f>
      </c>
      <c r="AF339" s="57">
        <f>IF(AQ339="2",BH339,0)</f>
      </c>
      <c r="AG339" s="57">
        <f>IF(AQ339="2",BI339,0)</f>
      </c>
      <c r="AH339" s="57">
        <f>IF(AQ339="0",BJ339,0)</f>
      </c>
      <c r="AI339" s="33" t="s">
        <v>358</v>
      </c>
      <c r="AJ339" s="57">
        <f>IF(AN339=0,K339,0)</f>
      </c>
      <c r="AK339" s="57">
        <f>IF(AN339=12,K339,0)</f>
      </c>
      <c r="AL339" s="57">
        <f>IF(AN339=21,K339,0)</f>
      </c>
      <c r="AN339" s="57" t="n">
        <v>21</v>
      </c>
      <c r="AO339" s="57">
        <f>H339*0.967138361</f>
      </c>
      <c r="AP339" s="57">
        <f>H339*(1-0.967138361)</f>
      </c>
      <c r="AQ339" s="60" t="s">
        <v>56</v>
      </c>
      <c r="AV339" s="57">
        <f>AW339+AX339</f>
      </c>
      <c r="AW339" s="57">
        <f>G339*AO339</f>
      </c>
      <c r="AX339" s="57">
        <f>G339*AP339</f>
      </c>
      <c r="AY339" s="60" t="s">
        <v>144</v>
      </c>
      <c r="AZ339" s="60" t="s">
        <v>435</v>
      </c>
      <c r="BA339" s="33" t="s">
        <v>364</v>
      </c>
      <c r="BC339" s="57">
        <f>AW339+AX339</f>
      </c>
      <c r="BD339" s="57">
        <f>H339/(100-BE339)*100</f>
      </c>
      <c r="BE339" s="57" t="n">
        <v>0</v>
      </c>
      <c r="BF339" s="57">
        <f>339</f>
      </c>
      <c r="BH339" s="57">
        <f>G339*AO339</f>
      </c>
      <c r="BI339" s="57">
        <f>G339*AP339</f>
      </c>
      <c r="BJ339" s="57">
        <f>G339*H339</f>
      </c>
      <c r="BK339" s="57"/>
      <c r="BL339" s="57" t="n">
        <v>59</v>
      </c>
      <c r="BW339" s="57" t="n">
        <v>21</v>
      </c>
      <c r="BX339" s="16" t="s">
        <v>474</v>
      </c>
    </row>
    <row r="340" customHeight="true" ht="13.5">
      <c r="A340" s="61"/>
      <c r="C340" s="66" t="s">
        <v>69</v>
      </c>
      <c r="D340" s="67" t="s">
        <v>475</v>
      </c>
      <c r="E340" s="68"/>
      <c r="F340" s="68"/>
      <c r="G340" s="68"/>
      <c r="H340" s="69"/>
      <c r="I340" s="68"/>
      <c r="J340" s="68"/>
      <c r="K340" s="68"/>
      <c r="L340" s="70"/>
    </row>
    <row r="341">
      <c r="A341" s="10" t="s">
        <v>476</v>
      </c>
      <c r="B341" s="11" t="s">
        <v>358</v>
      </c>
      <c r="C341" s="11" t="s">
        <v>477</v>
      </c>
      <c r="D341" s="16" t="s">
        <v>478</v>
      </c>
      <c r="E341" s="11"/>
      <c r="F341" s="11" t="s">
        <v>207</v>
      </c>
      <c r="G341" s="57" t="n">
        <v>1</v>
      </c>
      <c r="H341" s="58" t="n">
        <v>0</v>
      </c>
      <c r="I341" s="57">
        <f>G341*AO341</f>
      </c>
      <c r="J341" s="57">
        <f>G341*AP341</f>
      </c>
      <c r="K341" s="57">
        <f>G341*H341</f>
      </c>
      <c r="L341" s="59" t="s">
        <v>60</v>
      </c>
      <c r="Z341" s="57">
        <f>IF(AQ341="5",BJ341,0)</f>
      </c>
      <c r="AB341" s="57">
        <f>IF(AQ341="1",BH341,0)</f>
      </c>
      <c r="AC341" s="57">
        <f>IF(AQ341="1",BI341,0)</f>
      </c>
      <c r="AD341" s="57">
        <f>IF(AQ341="7",BH341,0)</f>
      </c>
      <c r="AE341" s="57">
        <f>IF(AQ341="7",BI341,0)</f>
      </c>
      <c r="AF341" s="57">
        <f>IF(AQ341="2",BH341,0)</f>
      </c>
      <c r="AG341" s="57">
        <f>IF(AQ341="2",BI341,0)</f>
      </c>
      <c r="AH341" s="57">
        <f>IF(AQ341="0",BJ341,0)</f>
      </c>
      <c r="AI341" s="33" t="s">
        <v>358</v>
      </c>
      <c r="AJ341" s="57">
        <f>IF(AN341=0,K341,0)</f>
      </c>
      <c r="AK341" s="57">
        <f>IF(AN341=12,K341,0)</f>
      </c>
      <c r="AL341" s="57">
        <f>IF(AN341=21,K341,0)</f>
      </c>
      <c r="AN341" s="57" t="n">
        <v>21</v>
      </c>
      <c r="AO341" s="57">
        <f>H341*0.945438537</f>
      </c>
      <c r="AP341" s="57">
        <f>H341*(1-0.945438537)</f>
      </c>
      <c r="AQ341" s="60" t="s">
        <v>56</v>
      </c>
      <c r="AV341" s="57">
        <f>AW341+AX341</f>
      </c>
      <c r="AW341" s="57">
        <f>G341*AO341</f>
      </c>
      <c r="AX341" s="57">
        <f>G341*AP341</f>
      </c>
      <c r="AY341" s="60" t="s">
        <v>144</v>
      </c>
      <c r="AZ341" s="60" t="s">
        <v>435</v>
      </c>
      <c r="BA341" s="33" t="s">
        <v>364</v>
      </c>
      <c r="BC341" s="57">
        <f>AW341+AX341</f>
      </c>
      <c r="BD341" s="57">
        <f>H341/(100-BE341)*100</f>
      </c>
      <c r="BE341" s="57" t="n">
        <v>0</v>
      </c>
      <c r="BF341" s="57">
        <f>341</f>
      </c>
      <c r="BH341" s="57">
        <f>G341*AO341</f>
      </c>
      <c r="BI341" s="57">
        <f>G341*AP341</f>
      </c>
      <c r="BJ341" s="57">
        <f>G341*H341</f>
      </c>
      <c r="BK341" s="57"/>
      <c r="BL341" s="57" t="n">
        <v>59</v>
      </c>
      <c r="BW341" s="57" t="n">
        <v>21</v>
      </c>
      <c r="BX341" s="16" t="s">
        <v>478</v>
      </c>
    </row>
    <row r="342">
      <c r="A342" s="10" t="s">
        <v>479</v>
      </c>
      <c r="B342" s="11" t="s">
        <v>358</v>
      </c>
      <c r="C342" s="11" t="s">
        <v>480</v>
      </c>
      <c r="D342" s="16" t="s">
        <v>481</v>
      </c>
      <c r="E342" s="11"/>
      <c r="F342" s="11" t="s">
        <v>207</v>
      </c>
      <c r="G342" s="57" t="n">
        <v>1</v>
      </c>
      <c r="H342" s="58" t="n">
        <v>0</v>
      </c>
      <c r="I342" s="57">
        <f>G342*AO342</f>
      </c>
      <c r="J342" s="57">
        <f>G342*AP342</f>
      </c>
      <c r="K342" s="57">
        <f>G342*H342</f>
      </c>
      <c r="L342" s="59" t="s">
        <v>60</v>
      </c>
      <c r="Z342" s="57">
        <f>IF(AQ342="5",BJ342,0)</f>
      </c>
      <c r="AB342" s="57">
        <f>IF(AQ342="1",BH342,0)</f>
      </c>
      <c r="AC342" s="57">
        <f>IF(AQ342="1",BI342,0)</f>
      </c>
      <c r="AD342" s="57">
        <f>IF(AQ342="7",BH342,0)</f>
      </c>
      <c r="AE342" s="57">
        <f>IF(AQ342="7",BI342,0)</f>
      </c>
      <c r="AF342" s="57">
        <f>IF(AQ342="2",BH342,0)</f>
      </c>
      <c r="AG342" s="57">
        <f>IF(AQ342="2",BI342,0)</f>
      </c>
      <c r="AH342" s="57">
        <f>IF(AQ342="0",BJ342,0)</f>
      </c>
      <c r="AI342" s="33" t="s">
        <v>358</v>
      </c>
      <c r="AJ342" s="57">
        <f>IF(AN342=0,K342,0)</f>
      </c>
      <c r="AK342" s="57">
        <f>IF(AN342=12,K342,0)</f>
      </c>
      <c r="AL342" s="57">
        <f>IF(AN342=21,K342,0)</f>
      </c>
      <c r="AN342" s="57" t="n">
        <v>21</v>
      </c>
      <c r="AO342" s="57">
        <f>H342*0.992124519</f>
      </c>
      <c r="AP342" s="57">
        <f>H342*(1-0.992124519)</f>
      </c>
      <c r="AQ342" s="60" t="s">
        <v>56</v>
      </c>
      <c r="AV342" s="57">
        <f>AW342+AX342</f>
      </c>
      <c r="AW342" s="57">
        <f>G342*AO342</f>
      </c>
      <c r="AX342" s="57">
        <f>G342*AP342</f>
      </c>
      <c r="AY342" s="60" t="s">
        <v>144</v>
      </c>
      <c r="AZ342" s="60" t="s">
        <v>435</v>
      </c>
      <c r="BA342" s="33" t="s">
        <v>364</v>
      </c>
      <c r="BC342" s="57">
        <f>AW342+AX342</f>
      </c>
      <c r="BD342" s="57">
        <f>H342/(100-BE342)*100</f>
      </c>
      <c r="BE342" s="57" t="n">
        <v>0</v>
      </c>
      <c r="BF342" s="57">
        <f>342</f>
      </c>
      <c r="BH342" s="57">
        <f>G342*AO342</f>
      </c>
      <c r="BI342" s="57">
        <f>G342*AP342</f>
      </c>
      <c r="BJ342" s="57">
        <f>G342*H342</f>
      </c>
      <c r="BK342" s="57"/>
      <c r="BL342" s="57" t="n">
        <v>59</v>
      </c>
      <c r="BW342" s="57" t="n">
        <v>21</v>
      </c>
      <c r="BX342" s="16" t="s">
        <v>481</v>
      </c>
    </row>
    <row r="343">
      <c r="A343" s="10" t="s">
        <v>482</v>
      </c>
      <c r="B343" s="11" t="s">
        <v>358</v>
      </c>
      <c r="C343" s="11" t="s">
        <v>483</v>
      </c>
      <c r="D343" s="16" t="s">
        <v>484</v>
      </c>
      <c r="E343" s="11"/>
      <c r="F343" s="11" t="s">
        <v>207</v>
      </c>
      <c r="G343" s="57" t="n">
        <v>2</v>
      </c>
      <c r="H343" s="58" t="n">
        <v>0</v>
      </c>
      <c r="I343" s="57">
        <f>G343*AO343</f>
      </c>
      <c r="J343" s="57">
        <f>G343*AP343</f>
      </c>
      <c r="K343" s="57">
        <f>G343*H343</f>
      </c>
      <c r="L343" s="59" t="s">
        <v>60</v>
      </c>
      <c r="Z343" s="57">
        <f>IF(AQ343="5",BJ343,0)</f>
      </c>
      <c r="AB343" s="57">
        <f>IF(AQ343="1",BH343,0)</f>
      </c>
      <c r="AC343" s="57">
        <f>IF(AQ343="1",BI343,0)</f>
      </c>
      <c r="AD343" s="57">
        <f>IF(AQ343="7",BH343,0)</f>
      </c>
      <c r="AE343" s="57">
        <f>IF(AQ343="7",BI343,0)</f>
      </c>
      <c r="AF343" s="57">
        <f>IF(AQ343="2",BH343,0)</f>
      </c>
      <c r="AG343" s="57">
        <f>IF(AQ343="2",BI343,0)</f>
      </c>
      <c r="AH343" s="57">
        <f>IF(AQ343="0",BJ343,0)</f>
      </c>
      <c r="AI343" s="33" t="s">
        <v>358</v>
      </c>
      <c r="AJ343" s="57">
        <f>IF(AN343=0,K343,0)</f>
      </c>
      <c r="AK343" s="57">
        <f>IF(AN343=12,K343,0)</f>
      </c>
      <c r="AL343" s="57">
        <f>IF(AN343=21,K343,0)</f>
      </c>
      <c r="AN343" s="57" t="n">
        <v>21</v>
      </c>
      <c r="AO343" s="57">
        <f>H343*0.992618532</f>
      </c>
      <c r="AP343" s="57">
        <f>H343*(1-0.992618532)</f>
      </c>
      <c r="AQ343" s="60" t="s">
        <v>56</v>
      </c>
      <c r="AV343" s="57">
        <f>AW343+AX343</f>
      </c>
      <c r="AW343" s="57">
        <f>G343*AO343</f>
      </c>
      <c r="AX343" s="57">
        <f>G343*AP343</f>
      </c>
      <c r="AY343" s="60" t="s">
        <v>144</v>
      </c>
      <c r="AZ343" s="60" t="s">
        <v>435</v>
      </c>
      <c r="BA343" s="33" t="s">
        <v>364</v>
      </c>
      <c r="BC343" s="57">
        <f>AW343+AX343</f>
      </c>
      <c r="BD343" s="57">
        <f>H343/(100-BE343)*100</f>
      </c>
      <c r="BE343" s="57" t="n">
        <v>0</v>
      </c>
      <c r="BF343" s="57">
        <f>343</f>
      </c>
      <c r="BH343" s="57">
        <f>G343*AO343</f>
      </c>
      <c r="BI343" s="57">
        <f>G343*AP343</f>
      </c>
      <c r="BJ343" s="57">
        <f>G343*H343</f>
      </c>
      <c r="BK343" s="57"/>
      <c r="BL343" s="57" t="n">
        <v>59</v>
      </c>
      <c r="BW343" s="57" t="n">
        <v>21</v>
      </c>
      <c r="BX343" s="16" t="s">
        <v>484</v>
      </c>
    </row>
    <row r="344" customHeight="true" ht="13.5">
      <c r="A344" s="61"/>
      <c r="C344" s="66" t="s">
        <v>69</v>
      </c>
      <c r="D344" s="67" t="s">
        <v>485</v>
      </c>
      <c r="E344" s="68"/>
      <c r="F344" s="68"/>
      <c r="G344" s="68"/>
      <c r="H344" s="69"/>
      <c r="I344" s="68"/>
      <c r="J344" s="68"/>
      <c r="K344" s="68"/>
      <c r="L344" s="70"/>
    </row>
    <row r="345">
      <c r="A345" s="10" t="s">
        <v>486</v>
      </c>
      <c r="B345" s="11" t="s">
        <v>358</v>
      </c>
      <c r="C345" s="11" t="s">
        <v>487</v>
      </c>
      <c r="D345" s="16" t="s">
        <v>488</v>
      </c>
      <c r="E345" s="11"/>
      <c r="F345" s="11" t="s">
        <v>207</v>
      </c>
      <c r="G345" s="57" t="n">
        <v>1</v>
      </c>
      <c r="H345" s="58" t="n">
        <v>0</v>
      </c>
      <c r="I345" s="57">
        <f>G345*AO345</f>
      </c>
      <c r="J345" s="57">
        <f>G345*AP345</f>
      </c>
      <c r="K345" s="57">
        <f>G345*H345</f>
      </c>
      <c r="L345" s="59" t="s">
        <v>60</v>
      </c>
      <c r="Z345" s="57">
        <f>IF(AQ345="5",BJ345,0)</f>
      </c>
      <c r="AB345" s="57">
        <f>IF(AQ345="1",BH345,0)</f>
      </c>
      <c r="AC345" s="57">
        <f>IF(AQ345="1",BI345,0)</f>
      </c>
      <c r="AD345" s="57">
        <f>IF(AQ345="7",BH345,0)</f>
      </c>
      <c r="AE345" s="57">
        <f>IF(AQ345="7",BI345,0)</f>
      </c>
      <c r="AF345" s="57">
        <f>IF(AQ345="2",BH345,0)</f>
      </c>
      <c r="AG345" s="57">
        <f>IF(AQ345="2",BI345,0)</f>
      </c>
      <c r="AH345" s="57">
        <f>IF(AQ345="0",BJ345,0)</f>
      </c>
      <c r="AI345" s="33" t="s">
        <v>358</v>
      </c>
      <c r="AJ345" s="57">
        <f>IF(AN345=0,K345,0)</f>
      </c>
      <c r="AK345" s="57">
        <f>IF(AN345=12,K345,0)</f>
      </c>
      <c r="AL345" s="57">
        <f>IF(AN345=21,K345,0)</f>
      </c>
      <c r="AN345" s="57" t="n">
        <v>21</v>
      </c>
      <c r="AO345" s="57">
        <f>H345*0.986865096</f>
      </c>
      <c r="AP345" s="57">
        <f>H345*(1-0.986865096)</f>
      </c>
      <c r="AQ345" s="60" t="s">
        <v>56</v>
      </c>
      <c r="AV345" s="57">
        <f>AW345+AX345</f>
      </c>
      <c r="AW345" s="57">
        <f>G345*AO345</f>
      </c>
      <c r="AX345" s="57">
        <f>G345*AP345</f>
      </c>
      <c r="AY345" s="60" t="s">
        <v>144</v>
      </c>
      <c r="AZ345" s="60" t="s">
        <v>435</v>
      </c>
      <c r="BA345" s="33" t="s">
        <v>364</v>
      </c>
      <c r="BC345" s="57">
        <f>AW345+AX345</f>
      </c>
      <c r="BD345" s="57">
        <f>H345/(100-BE345)*100</f>
      </c>
      <c r="BE345" s="57" t="n">
        <v>0</v>
      </c>
      <c r="BF345" s="57">
        <f>345</f>
      </c>
      <c r="BH345" s="57">
        <f>G345*AO345</f>
      </c>
      <c r="BI345" s="57">
        <f>G345*AP345</f>
      </c>
      <c r="BJ345" s="57">
        <f>G345*H345</f>
      </c>
      <c r="BK345" s="57"/>
      <c r="BL345" s="57" t="n">
        <v>59</v>
      </c>
      <c r="BW345" s="57" t="n">
        <v>21</v>
      </c>
      <c r="BX345" s="16" t="s">
        <v>488</v>
      </c>
    </row>
    <row r="346" customHeight="true" ht="13.5">
      <c r="A346" s="61"/>
      <c r="C346" s="66" t="s">
        <v>69</v>
      </c>
      <c r="D346" s="67" t="s">
        <v>485</v>
      </c>
      <c r="E346" s="68"/>
      <c r="F346" s="68"/>
      <c r="G346" s="68"/>
      <c r="H346" s="69"/>
      <c r="I346" s="68"/>
      <c r="J346" s="68"/>
      <c r="K346" s="68"/>
      <c r="L346" s="70"/>
    </row>
    <row r="347">
      <c r="A347" s="10" t="s">
        <v>489</v>
      </c>
      <c r="B347" s="11" t="s">
        <v>358</v>
      </c>
      <c r="C347" s="11" t="s">
        <v>490</v>
      </c>
      <c r="D347" s="16" t="s">
        <v>491</v>
      </c>
      <c r="E347" s="11"/>
      <c r="F347" s="11" t="s">
        <v>68</v>
      </c>
      <c r="G347" s="57" t="n">
        <v>2.5</v>
      </c>
      <c r="H347" s="58" t="n">
        <v>0</v>
      </c>
      <c r="I347" s="57">
        <f>G347*AO347</f>
      </c>
      <c r="J347" s="57">
        <f>G347*AP347</f>
      </c>
      <c r="K347" s="57">
        <f>G347*H347</f>
      </c>
      <c r="L347" s="59" t="s">
        <v>60</v>
      </c>
      <c r="Z347" s="57">
        <f>IF(AQ347="5",BJ347,0)</f>
      </c>
      <c r="AB347" s="57">
        <f>IF(AQ347="1",BH347,0)</f>
      </c>
      <c r="AC347" s="57">
        <f>IF(AQ347="1",BI347,0)</f>
      </c>
      <c r="AD347" s="57">
        <f>IF(AQ347="7",BH347,0)</f>
      </c>
      <c r="AE347" s="57">
        <f>IF(AQ347="7",BI347,0)</f>
      </c>
      <c r="AF347" s="57">
        <f>IF(AQ347="2",BH347,0)</f>
      </c>
      <c r="AG347" s="57">
        <f>IF(AQ347="2",BI347,0)</f>
      </c>
      <c r="AH347" s="57">
        <f>IF(AQ347="0",BJ347,0)</f>
      </c>
      <c r="AI347" s="33" t="s">
        <v>358</v>
      </c>
      <c r="AJ347" s="57">
        <f>IF(AN347=0,K347,0)</f>
      </c>
      <c r="AK347" s="57">
        <f>IF(AN347=12,K347,0)</f>
      </c>
      <c r="AL347" s="57">
        <f>IF(AN347=21,K347,0)</f>
      </c>
      <c r="AN347" s="57" t="n">
        <v>21</v>
      </c>
      <c r="AO347" s="57">
        <f>H347*0.925036496</f>
      </c>
      <c r="AP347" s="57">
        <f>H347*(1-0.925036496)</f>
      </c>
      <c r="AQ347" s="60" t="s">
        <v>56</v>
      </c>
      <c r="AV347" s="57">
        <f>AW347+AX347</f>
      </c>
      <c r="AW347" s="57">
        <f>G347*AO347</f>
      </c>
      <c r="AX347" s="57">
        <f>G347*AP347</f>
      </c>
      <c r="AY347" s="60" t="s">
        <v>144</v>
      </c>
      <c r="AZ347" s="60" t="s">
        <v>435</v>
      </c>
      <c r="BA347" s="33" t="s">
        <v>364</v>
      </c>
      <c r="BC347" s="57">
        <f>AW347+AX347</f>
      </c>
      <c r="BD347" s="57">
        <f>H347/(100-BE347)*100</f>
      </c>
      <c r="BE347" s="57" t="n">
        <v>0</v>
      </c>
      <c r="BF347" s="57">
        <f>347</f>
      </c>
      <c r="BH347" s="57">
        <f>G347*AO347</f>
      </c>
      <c r="BI347" s="57">
        <f>G347*AP347</f>
      </c>
      <c r="BJ347" s="57">
        <f>G347*H347</f>
      </c>
      <c r="BK347" s="57"/>
      <c r="BL347" s="57" t="n">
        <v>59</v>
      </c>
      <c r="BW347" s="57" t="n">
        <v>21</v>
      </c>
      <c r="BX347" s="16" t="s">
        <v>491</v>
      </c>
    </row>
    <row r="348">
      <c r="A348" s="10" t="s">
        <v>492</v>
      </c>
      <c r="B348" s="11" t="s">
        <v>358</v>
      </c>
      <c r="C348" s="11" t="s">
        <v>493</v>
      </c>
      <c r="D348" s="16" t="s">
        <v>494</v>
      </c>
      <c r="E348" s="11"/>
      <c r="F348" s="11" t="s">
        <v>68</v>
      </c>
      <c r="G348" s="57" t="n">
        <v>2.5</v>
      </c>
      <c r="H348" s="58" t="n">
        <v>0</v>
      </c>
      <c r="I348" s="57">
        <f>G348*AO348</f>
      </c>
      <c r="J348" s="57">
        <f>G348*AP348</f>
      </c>
      <c r="K348" s="57">
        <f>G348*H348</f>
      </c>
      <c r="L348" s="59" t="s">
        <v>60</v>
      </c>
      <c r="Z348" s="57">
        <f>IF(AQ348="5",BJ348,0)</f>
      </c>
      <c r="AB348" s="57">
        <f>IF(AQ348="1",BH348,0)</f>
      </c>
      <c r="AC348" s="57">
        <f>IF(AQ348="1",BI348,0)</f>
      </c>
      <c r="AD348" s="57">
        <f>IF(AQ348="7",BH348,0)</f>
      </c>
      <c r="AE348" s="57">
        <f>IF(AQ348="7",BI348,0)</f>
      </c>
      <c r="AF348" s="57">
        <f>IF(AQ348="2",BH348,0)</f>
      </c>
      <c r="AG348" s="57">
        <f>IF(AQ348="2",BI348,0)</f>
      </c>
      <c r="AH348" s="57">
        <f>IF(AQ348="0",BJ348,0)</f>
      </c>
      <c r="AI348" s="33" t="s">
        <v>358</v>
      </c>
      <c r="AJ348" s="57">
        <f>IF(AN348=0,K348,0)</f>
      </c>
      <c r="AK348" s="57">
        <f>IF(AN348=12,K348,0)</f>
      </c>
      <c r="AL348" s="57">
        <f>IF(AN348=21,K348,0)</f>
      </c>
      <c r="AN348" s="57" t="n">
        <v>21</v>
      </c>
      <c r="AO348" s="57">
        <f>H348*0.487481688</f>
      </c>
      <c r="AP348" s="57">
        <f>H348*(1-0.487481688)</f>
      </c>
      <c r="AQ348" s="60" t="s">
        <v>56</v>
      </c>
      <c r="AV348" s="57">
        <f>AW348+AX348</f>
      </c>
      <c r="AW348" s="57">
        <f>G348*AO348</f>
      </c>
      <c r="AX348" s="57">
        <f>G348*AP348</f>
      </c>
      <c r="AY348" s="60" t="s">
        <v>144</v>
      </c>
      <c r="AZ348" s="60" t="s">
        <v>435</v>
      </c>
      <c r="BA348" s="33" t="s">
        <v>364</v>
      </c>
      <c r="BC348" s="57">
        <f>AW348+AX348</f>
      </c>
      <c r="BD348" s="57">
        <f>H348/(100-BE348)*100</f>
      </c>
      <c r="BE348" s="57" t="n">
        <v>0</v>
      </c>
      <c r="BF348" s="57">
        <f>348</f>
      </c>
      <c r="BH348" s="57">
        <f>G348*AO348</f>
      </c>
      <c r="BI348" s="57">
        <f>G348*AP348</f>
      </c>
      <c r="BJ348" s="57">
        <f>G348*H348</f>
      </c>
      <c r="BK348" s="57"/>
      <c r="BL348" s="57" t="n">
        <v>59</v>
      </c>
      <c r="BW348" s="57" t="n">
        <v>21</v>
      </c>
      <c r="BX348" s="16" t="s">
        <v>494</v>
      </c>
    </row>
    <row r="349" customHeight="true" ht="13.5">
      <c r="A349" s="61"/>
      <c r="C349" s="66" t="s">
        <v>69</v>
      </c>
      <c r="D349" s="67" t="s">
        <v>495</v>
      </c>
      <c r="E349" s="68"/>
      <c r="F349" s="68"/>
      <c r="G349" s="68"/>
      <c r="H349" s="69"/>
      <c r="I349" s="68"/>
      <c r="J349" s="68"/>
      <c r="K349" s="68"/>
      <c r="L349" s="70"/>
    </row>
    <row r="350">
      <c r="A350" s="51" t="s">
        <v>51</v>
      </c>
      <c r="B350" s="52" t="s">
        <v>358</v>
      </c>
      <c r="C350" s="52" t="s">
        <v>341</v>
      </c>
      <c r="D350" s="53" t="s">
        <v>496</v>
      </c>
      <c r="E350" s="52"/>
      <c r="F350" s="54" t="s">
        <v>4</v>
      </c>
      <c r="G350" s="54" t="s">
        <v>4</v>
      </c>
      <c r="H350" s="55" t="s">
        <v>4</v>
      </c>
      <c r="I350" s="2">
        <f>SUM(I351:I351)</f>
      </c>
      <c r="J350" s="2">
        <f>SUM(J351:J351)</f>
      </c>
      <c r="K350" s="2">
        <f>SUM(K351:K351)</f>
      </c>
      <c r="L350" s="56" t="s">
        <v>51</v>
      </c>
      <c r="AI350" s="33" t="s">
        <v>358</v>
      </c>
      <c r="AS350" s="2">
        <f>SUM(AJ351:AJ351)</f>
      </c>
      <c r="AT350" s="2">
        <f>SUM(AK351:AK351)</f>
      </c>
      <c r="AU350" s="2">
        <f>SUM(AL351:AL351)</f>
      </c>
    </row>
    <row r="351">
      <c r="A351" s="10" t="s">
        <v>497</v>
      </c>
      <c r="B351" s="11" t="s">
        <v>358</v>
      </c>
      <c r="C351" s="11" t="s">
        <v>498</v>
      </c>
      <c r="D351" s="16" t="s">
        <v>499</v>
      </c>
      <c r="E351" s="11"/>
      <c r="F351" s="11" t="s">
        <v>68</v>
      </c>
      <c r="G351" s="57" t="n">
        <v>1</v>
      </c>
      <c r="H351" s="58" t="n">
        <v>0</v>
      </c>
      <c r="I351" s="57">
        <f>G351*AO351</f>
      </c>
      <c r="J351" s="57">
        <f>G351*AP351</f>
      </c>
      <c r="K351" s="57">
        <f>G351*H351</f>
      </c>
      <c r="L351" s="59" t="s">
        <v>60</v>
      </c>
      <c r="Z351" s="57">
        <f>IF(AQ351="5",BJ351,0)</f>
      </c>
      <c r="AB351" s="57">
        <f>IF(AQ351="1",BH351,0)</f>
      </c>
      <c r="AC351" s="57">
        <f>IF(AQ351="1",BI351,0)</f>
      </c>
      <c r="AD351" s="57">
        <f>IF(AQ351="7",BH351,0)</f>
      </c>
      <c r="AE351" s="57">
        <f>IF(AQ351="7",BI351,0)</f>
      </c>
      <c r="AF351" s="57">
        <f>IF(AQ351="2",BH351,0)</f>
      </c>
      <c r="AG351" s="57">
        <f>IF(AQ351="2",BI351,0)</f>
      </c>
      <c r="AH351" s="57">
        <f>IF(AQ351="0",BJ351,0)</f>
      </c>
      <c r="AI351" s="33" t="s">
        <v>358</v>
      </c>
      <c r="AJ351" s="57">
        <f>IF(AN351=0,K351,0)</f>
      </c>
      <c r="AK351" s="57">
        <f>IF(AN351=12,K351,0)</f>
      </c>
      <c r="AL351" s="57">
        <f>IF(AN351=21,K351,0)</f>
      </c>
      <c r="AN351" s="57" t="n">
        <v>21</v>
      </c>
      <c r="AO351" s="57">
        <f>H351*0.282171964</f>
      </c>
      <c r="AP351" s="57">
        <f>H351*(1-0.282171964)</f>
      </c>
      <c r="AQ351" s="60" t="s">
        <v>56</v>
      </c>
      <c r="AV351" s="57">
        <f>AW351+AX351</f>
      </c>
      <c r="AW351" s="57">
        <f>G351*AO351</f>
      </c>
      <c r="AX351" s="57">
        <f>G351*AP351</f>
      </c>
      <c r="AY351" s="60" t="s">
        <v>500</v>
      </c>
      <c r="AZ351" s="60" t="s">
        <v>501</v>
      </c>
      <c r="BA351" s="33" t="s">
        <v>364</v>
      </c>
      <c r="BC351" s="57">
        <f>AW351+AX351</f>
      </c>
      <c r="BD351" s="57">
        <f>H351/(100-BE351)*100</f>
      </c>
      <c r="BE351" s="57" t="n">
        <v>0</v>
      </c>
      <c r="BF351" s="57">
        <f>351</f>
      </c>
      <c r="BH351" s="57">
        <f>G351*AO351</f>
      </c>
      <c r="BI351" s="57">
        <f>G351*AP351</f>
      </c>
      <c r="BJ351" s="57">
        <f>G351*H351</f>
      </c>
      <c r="BK351" s="57"/>
      <c r="BL351" s="57" t="n">
        <v>83</v>
      </c>
      <c r="BW351" s="57" t="n">
        <v>21</v>
      </c>
      <c r="BX351" s="16" t="s">
        <v>499</v>
      </c>
    </row>
    <row r="352" customHeight="true" ht="13.5">
      <c r="A352" s="61"/>
      <c r="C352" s="66" t="s">
        <v>69</v>
      </c>
      <c r="D352" s="67" t="s">
        <v>502</v>
      </c>
      <c r="E352" s="68"/>
      <c r="F352" s="68"/>
      <c r="G352" s="68"/>
      <c r="H352" s="69"/>
      <c r="I352" s="68"/>
      <c r="J352" s="68"/>
      <c r="K352" s="68"/>
      <c r="L352" s="70"/>
    </row>
    <row r="353">
      <c r="A353" s="51" t="s">
        <v>51</v>
      </c>
      <c r="B353" s="52" t="s">
        <v>358</v>
      </c>
      <c r="C353" s="52" t="s">
        <v>151</v>
      </c>
      <c r="D353" s="53" t="s">
        <v>152</v>
      </c>
      <c r="E353" s="52"/>
      <c r="F353" s="54" t="s">
        <v>4</v>
      </c>
      <c r="G353" s="54" t="s">
        <v>4</v>
      </c>
      <c r="H353" s="55" t="s">
        <v>4</v>
      </c>
      <c r="I353" s="2">
        <f>SUM(I354:I357)</f>
      </c>
      <c r="J353" s="2">
        <f>SUM(J354:J357)</f>
      </c>
      <c r="K353" s="2">
        <f>SUM(K354:K357)</f>
      </c>
      <c r="L353" s="56" t="s">
        <v>51</v>
      </c>
      <c r="AI353" s="33" t="s">
        <v>358</v>
      </c>
      <c r="AS353" s="2">
        <f>SUM(AJ354:AJ357)</f>
      </c>
      <c r="AT353" s="2">
        <f>SUM(AK354:AK357)</f>
      </c>
      <c r="AU353" s="2">
        <f>SUM(AL354:AL357)</f>
      </c>
    </row>
    <row r="354" ht="24.75">
      <c r="A354" s="10" t="s">
        <v>503</v>
      </c>
      <c r="B354" s="11" t="s">
        <v>358</v>
      </c>
      <c r="C354" s="11" t="s">
        <v>264</v>
      </c>
      <c r="D354" s="16" t="s">
        <v>265</v>
      </c>
      <c r="E354" s="11"/>
      <c r="F354" s="11" t="s">
        <v>68</v>
      </c>
      <c r="G354" s="57" t="n">
        <v>24</v>
      </c>
      <c r="H354" s="58" t="n">
        <v>0</v>
      </c>
      <c r="I354" s="57">
        <f>G354*AO354</f>
      </c>
      <c r="J354" s="57">
        <f>G354*AP354</f>
      </c>
      <c r="K354" s="57">
        <f>G354*H354</f>
      </c>
      <c r="L354" s="59" t="s">
        <v>60</v>
      </c>
      <c r="Z354" s="57">
        <f>IF(AQ354="5",BJ354,0)</f>
      </c>
      <c r="AB354" s="57">
        <f>IF(AQ354="1",BH354,0)</f>
      </c>
      <c r="AC354" s="57">
        <f>IF(AQ354="1",BI354,0)</f>
      </c>
      <c r="AD354" s="57">
        <f>IF(AQ354="7",BH354,0)</f>
      </c>
      <c r="AE354" s="57">
        <f>IF(AQ354="7",BI354,0)</f>
      </c>
      <c r="AF354" s="57">
        <f>IF(AQ354="2",BH354,0)</f>
      </c>
      <c r="AG354" s="57">
        <f>IF(AQ354="2",BI354,0)</f>
      </c>
      <c r="AH354" s="57">
        <f>IF(AQ354="0",BJ354,0)</f>
      </c>
      <c r="AI354" s="33" t="s">
        <v>358</v>
      </c>
      <c r="AJ354" s="57">
        <f>IF(AN354=0,K354,0)</f>
      </c>
      <c r="AK354" s="57">
        <f>IF(AN354=12,K354,0)</f>
      </c>
      <c r="AL354" s="57">
        <f>IF(AN354=21,K354,0)</f>
      </c>
      <c r="AN354" s="57" t="n">
        <v>21</v>
      </c>
      <c r="AO354" s="57">
        <f>H354*0.566389776</f>
      </c>
      <c r="AP354" s="57">
        <f>H354*(1-0.566389776)</f>
      </c>
      <c r="AQ354" s="60" t="s">
        <v>56</v>
      </c>
      <c r="AV354" s="57">
        <f>AW354+AX354</f>
      </c>
      <c r="AW354" s="57">
        <f>G354*AO354</f>
      </c>
      <c r="AX354" s="57">
        <f>G354*AP354</f>
      </c>
      <c r="AY354" s="60" t="s">
        <v>155</v>
      </c>
      <c r="AZ354" s="60" t="s">
        <v>504</v>
      </c>
      <c r="BA354" s="33" t="s">
        <v>364</v>
      </c>
      <c r="BC354" s="57">
        <f>AW354+AX354</f>
      </c>
      <c r="BD354" s="57">
        <f>H354/(100-BE354)*100</f>
      </c>
      <c r="BE354" s="57" t="n">
        <v>0</v>
      </c>
      <c r="BF354" s="57">
        <f>354</f>
      </c>
      <c r="BH354" s="57">
        <f>G354*AO354</f>
      </c>
      <c r="BI354" s="57">
        <f>G354*AP354</f>
      </c>
      <c r="BJ354" s="57">
        <f>G354*H354</f>
      </c>
      <c r="BK354" s="57"/>
      <c r="BL354" s="57" t="n">
        <v>91</v>
      </c>
      <c r="BW354" s="57" t="n">
        <v>21</v>
      </c>
      <c r="BX354" s="16" t="s">
        <v>265</v>
      </c>
    </row>
    <row r="355" customHeight="true" ht="13.5">
      <c r="A355" s="61"/>
      <c r="C355" s="66" t="s">
        <v>69</v>
      </c>
      <c r="D355" s="67" t="s">
        <v>267</v>
      </c>
      <c r="E355" s="68"/>
      <c r="F355" s="68"/>
      <c r="G355" s="68"/>
      <c r="H355" s="69"/>
      <c r="I355" s="68"/>
      <c r="J355" s="68"/>
      <c r="K355" s="68"/>
      <c r="L355" s="70"/>
    </row>
    <row r="356">
      <c r="A356" s="61"/>
      <c r="D356" s="62" t="s">
        <v>505</v>
      </c>
      <c r="E356" s="63" t="s">
        <v>51</v>
      </c>
      <c r="G356" s="64" t="n">
        <v>24</v>
      </c>
      <c r="L356" s="65"/>
    </row>
    <row r="357" ht="24.75">
      <c r="A357" s="10" t="s">
        <v>506</v>
      </c>
      <c r="B357" s="11" t="s">
        <v>358</v>
      </c>
      <c r="C357" s="11" t="s">
        <v>153</v>
      </c>
      <c r="D357" s="16" t="s">
        <v>154</v>
      </c>
      <c r="E357" s="11"/>
      <c r="F357" s="11" t="s">
        <v>68</v>
      </c>
      <c r="G357" s="57" t="n">
        <v>72</v>
      </c>
      <c r="H357" s="58" t="n">
        <v>0</v>
      </c>
      <c r="I357" s="57">
        <f>G357*AO357</f>
      </c>
      <c r="J357" s="57">
        <f>G357*AP357</f>
      </c>
      <c r="K357" s="57">
        <f>G357*H357</f>
      </c>
      <c r="L357" s="59" t="s">
        <v>60</v>
      </c>
      <c r="Z357" s="57">
        <f>IF(AQ357="5",BJ357,0)</f>
      </c>
      <c r="AB357" s="57">
        <f>IF(AQ357="1",BH357,0)</f>
      </c>
      <c r="AC357" s="57">
        <f>IF(AQ357="1",BI357,0)</f>
      </c>
      <c r="AD357" s="57">
        <f>IF(AQ357="7",BH357,0)</f>
      </c>
      <c r="AE357" s="57">
        <f>IF(AQ357="7",BI357,0)</f>
      </c>
      <c r="AF357" s="57">
        <f>IF(AQ357="2",BH357,0)</f>
      </c>
      <c r="AG357" s="57">
        <f>IF(AQ357="2",BI357,0)</f>
      </c>
      <c r="AH357" s="57">
        <f>IF(AQ357="0",BJ357,0)</f>
      </c>
      <c r="AI357" s="33" t="s">
        <v>358</v>
      </c>
      <c r="AJ357" s="57">
        <f>IF(AN357=0,K357,0)</f>
      </c>
      <c r="AK357" s="57">
        <f>IF(AN357=12,K357,0)</f>
      </c>
      <c r="AL357" s="57">
        <f>IF(AN357=21,K357,0)</f>
      </c>
      <c r="AN357" s="57" t="n">
        <v>21</v>
      </c>
      <c r="AO357" s="57">
        <f>H357*0.572010376</f>
      </c>
      <c r="AP357" s="57">
        <f>H357*(1-0.572010376)</f>
      </c>
      <c r="AQ357" s="60" t="s">
        <v>56</v>
      </c>
      <c r="AV357" s="57">
        <f>AW357+AX357</f>
      </c>
      <c r="AW357" s="57">
        <f>G357*AO357</f>
      </c>
      <c r="AX357" s="57">
        <f>G357*AP357</f>
      </c>
      <c r="AY357" s="60" t="s">
        <v>155</v>
      </c>
      <c r="AZ357" s="60" t="s">
        <v>504</v>
      </c>
      <c r="BA357" s="33" t="s">
        <v>364</v>
      </c>
      <c r="BC357" s="57">
        <f>AW357+AX357</f>
      </c>
      <c r="BD357" s="57">
        <f>H357/(100-BE357)*100</f>
      </c>
      <c r="BE357" s="57" t="n">
        <v>0</v>
      </c>
      <c r="BF357" s="57">
        <f>357</f>
      </c>
      <c r="BH357" s="57">
        <f>G357*AO357</f>
      </c>
      <c r="BI357" s="57">
        <f>G357*AP357</f>
      </c>
      <c r="BJ357" s="57">
        <f>G357*H357</f>
      </c>
      <c r="BK357" s="57"/>
      <c r="BL357" s="57" t="n">
        <v>91</v>
      </c>
      <c r="BW357" s="57" t="n">
        <v>21</v>
      </c>
      <c r="BX357" s="16" t="s">
        <v>154</v>
      </c>
    </row>
    <row r="358">
      <c r="A358" s="61"/>
      <c r="D358" s="62" t="s">
        <v>507</v>
      </c>
      <c r="E358" s="63" t="s">
        <v>51</v>
      </c>
      <c r="G358" s="64" t="n">
        <v>72</v>
      </c>
      <c r="L358" s="65"/>
    </row>
    <row r="359">
      <c r="A359" s="51" t="s">
        <v>51</v>
      </c>
      <c r="B359" s="52" t="s">
        <v>358</v>
      </c>
      <c r="C359" s="52" t="s">
        <v>159</v>
      </c>
      <c r="D359" s="53" t="s">
        <v>160</v>
      </c>
      <c r="E359" s="52"/>
      <c r="F359" s="54" t="s">
        <v>4</v>
      </c>
      <c r="G359" s="54" t="s">
        <v>4</v>
      </c>
      <c r="H359" s="55" t="s">
        <v>4</v>
      </c>
      <c r="I359" s="2">
        <f>SUM(I360:I360)</f>
      </c>
      <c r="J359" s="2">
        <f>SUM(J360:J360)</f>
      </c>
      <c r="K359" s="2">
        <f>SUM(K360:K360)</f>
      </c>
      <c r="L359" s="56" t="s">
        <v>51</v>
      </c>
      <c r="AI359" s="33" t="s">
        <v>358</v>
      </c>
      <c r="AS359" s="2">
        <f>SUM(AJ360:AJ360)</f>
      </c>
      <c r="AT359" s="2">
        <f>SUM(AK360:AK360)</f>
      </c>
      <c r="AU359" s="2">
        <f>SUM(AL360:AL360)</f>
      </c>
    </row>
    <row r="360">
      <c r="A360" s="10" t="s">
        <v>508</v>
      </c>
      <c r="B360" s="11" t="s">
        <v>358</v>
      </c>
      <c r="C360" s="11" t="s">
        <v>162</v>
      </c>
      <c r="D360" s="16" t="s">
        <v>163</v>
      </c>
      <c r="E360" s="11"/>
      <c r="F360" s="11" t="s">
        <v>164</v>
      </c>
      <c r="G360" s="57" t="n">
        <v>349.5</v>
      </c>
      <c r="H360" s="58" t="n">
        <v>0</v>
      </c>
      <c r="I360" s="57">
        <f>G360*AO360</f>
      </c>
      <c r="J360" s="57">
        <f>G360*AP360</f>
      </c>
      <c r="K360" s="57">
        <f>G360*H360</f>
      </c>
      <c r="L360" s="59" t="s">
        <v>60</v>
      </c>
      <c r="Z360" s="57">
        <f>IF(AQ360="5",BJ360,0)</f>
      </c>
      <c r="AB360" s="57">
        <f>IF(AQ360="1",BH360,0)</f>
      </c>
      <c r="AC360" s="57">
        <f>IF(AQ360="1",BI360,0)</f>
      </c>
      <c r="AD360" s="57">
        <f>IF(AQ360="7",BH360,0)</f>
      </c>
      <c r="AE360" s="57">
        <f>IF(AQ360="7",BI360,0)</f>
      </c>
      <c r="AF360" s="57">
        <f>IF(AQ360="2",BH360,0)</f>
      </c>
      <c r="AG360" s="57">
        <f>IF(AQ360="2",BI360,0)</f>
      </c>
      <c r="AH360" s="57">
        <f>IF(AQ360="0",BJ360,0)</f>
      </c>
      <c r="AI360" s="33" t="s">
        <v>358</v>
      </c>
      <c r="AJ360" s="57">
        <f>IF(AN360=0,K360,0)</f>
      </c>
      <c r="AK360" s="57">
        <f>IF(AN360=12,K360,0)</f>
      </c>
      <c r="AL360" s="57">
        <f>IF(AN360=21,K360,0)</f>
      </c>
      <c r="AN360" s="57" t="n">
        <v>21</v>
      </c>
      <c r="AO360" s="57">
        <f>H360*0</f>
      </c>
      <c r="AP360" s="57">
        <f>H360*(1-0)</f>
      </c>
      <c r="AQ360" s="60" t="s">
        <v>89</v>
      </c>
      <c r="AV360" s="57">
        <f>AW360+AX360</f>
      </c>
      <c r="AW360" s="57">
        <f>G360*AO360</f>
      </c>
      <c r="AX360" s="57">
        <f>G360*AP360</f>
      </c>
      <c r="AY360" s="60" t="s">
        <v>165</v>
      </c>
      <c r="AZ360" s="60" t="s">
        <v>504</v>
      </c>
      <c r="BA360" s="33" t="s">
        <v>364</v>
      </c>
      <c r="BC360" s="57">
        <f>AW360+AX360</f>
      </c>
      <c r="BD360" s="57">
        <f>H360/(100-BE360)*100</f>
      </c>
      <c r="BE360" s="57" t="n">
        <v>0</v>
      </c>
      <c r="BF360" s="57">
        <f>360</f>
      </c>
      <c r="BH360" s="57">
        <f>G360*AO360</f>
      </c>
      <c r="BI360" s="57">
        <f>G360*AP360</f>
      </c>
      <c r="BJ360" s="57">
        <f>G360*H360</f>
      </c>
      <c r="BK360" s="57"/>
      <c r="BL360" s="57"/>
      <c r="BW360" s="57" t="n">
        <v>21</v>
      </c>
      <c r="BX360" s="16" t="s">
        <v>163</v>
      </c>
    </row>
    <row r="361">
      <c r="A361" s="61"/>
      <c r="D361" s="62" t="s">
        <v>509</v>
      </c>
      <c r="E361" s="63" t="s">
        <v>51</v>
      </c>
      <c r="G361" s="64" t="n">
        <v>349.5</v>
      </c>
      <c r="L361" s="65"/>
    </row>
    <row r="362">
      <c r="A362" s="51" t="s">
        <v>51</v>
      </c>
      <c r="B362" s="52" t="s">
        <v>358</v>
      </c>
      <c r="C362" s="52" t="s">
        <v>167</v>
      </c>
      <c r="D362" s="53" t="s">
        <v>168</v>
      </c>
      <c r="E362" s="52"/>
      <c r="F362" s="54" t="s">
        <v>4</v>
      </c>
      <c r="G362" s="54" t="s">
        <v>4</v>
      </c>
      <c r="H362" s="55" t="s">
        <v>4</v>
      </c>
      <c r="I362" s="2">
        <f>SUM(I363:I367)</f>
      </c>
      <c r="J362" s="2">
        <f>SUM(J363:J367)</f>
      </c>
      <c r="K362" s="2">
        <f>SUM(K363:K367)</f>
      </c>
      <c r="L362" s="56" t="s">
        <v>51</v>
      </c>
      <c r="AI362" s="33" t="s">
        <v>358</v>
      </c>
      <c r="AS362" s="2">
        <f>SUM(AJ363:AJ367)</f>
      </c>
      <c r="AT362" s="2">
        <f>SUM(AK363:AK367)</f>
      </c>
      <c r="AU362" s="2">
        <f>SUM(AL363:AL367)</f>
      </c>
    </row>
    <row r="363">
      <c r="A363" s="10" t="s">
        <v>510</v>
      </c>
      <c r="B363" s="11" t="s">
        <v>358</v>
      </c>
      <c r="C363" s="11" t="s">
        <v>170</v>
      </c>
      <c r="D363" s="16" t="s">
        <v>171</v>
      </c>
      <c r="E363" s="11"/>
      <c r="F363" s="11" t="s">
        <v>164</v>
      </c>
      <c r="G363" s="57" t="n">
        <v>278.4</v>
      </c>
      <c r="H363" s="58" t="n">
        <v>0</v>
      </c>
      <c r="I363" s="57">
        <f>G363*AO363</f>
      </c>
      <c r="J363" s="57">
        <f>G363*AP363</f>
      </c>
      <c r="K363" s="57">
        <f>G363*H363</f>
      </c>
      <c r="L363" s="59" t="s">
        <v>60</v>
      </c>
      <c r="Z363" s="57">
        <f>IF(AQ363="5",BJ363,0)</f>
      </c>
      <c r="AB363" s="57">
        <f>IF(AQ363="1",BH363,0)</f>
      </c>
      <c r="AC363" s="57">
        <f>IF(AQ363="1",BI363,0)</f>
      </c>
      <c r="AD363" s="57">
        <f>IF(AQ363="7",BH363,0)</f>
      </c>
      <c r="AE363" s="57">
        <f>IF(AQ363="7",BI363,0)</f>
      </c>
      <c r="AF363" s="57">
        <f>IF(AQ363="2",BH363,0)</f>
      </c>
      <c r="AG363" s="57">
        <f>IF(AQ363="2",BI363,0)</f>
      </c>
      <c r="AH363" s="57">
        <f>IF(AQ363="0",BJ363,0)</f>
      </c>
      <c r="AI363" s="33" t="s">
        <v>358</v>
      </c>
      <c r="AJ363" s="57">
        <f>IF(AN363=0,K363,0)</f>
      </c>
      <c r="AK363" s="57">
        <f>IF(AN363=12,K363,0)</f>
      </c>
      <c r="AL363" s="57">
        <f>IF(AN363=21,K363,0)</f>
      </c>
      <c r="AN363" s="57" t="n">
        <v>21</v>
      </c>
      <c r="AO363" s="57">
        <f>H363*0</f>
      </c>
      <c r="AP363" s="57">
        <f>H363*(1-0)</f>
      </c>
      <c r="AQ363" s="60" t="s">
        <v>89</v>
      </c>
      <c r="AV363" s="57">
        <f>AW363+AX363</f>
      </c>
      <c r="AW363" s="57">
        <f>G363*AO363</f>
      </c>
      <c r="AX363" s="57">
        <f>G363*AP363</f>
      </c>
      <c r="AY363" s="60" t="s">
        <v>172</v>
      </c>
      <c r="AZ363" s="60" t="s">
        <v>504</v>
      </c>
      <c r="BA363" s="33" t="s">
        <v>364</v>
      </c>
      <c r="BC363" s="57">
        <f>AW363+AX363</f>
      </c>
      <c r="BD363" s="57">
        <f>H363/(100-BE363)*100</f>
      </c>
      <c r="BE363" s="57" t="n">
        <v>0</v>
      </c>
      <c r="BF363" s="57">
        <f>363</f>
      </c>
      <c r="BH363" s="57">
        <f>G363*AO363</f>
      </c>
      <c r="BI363" s="57">
        <f>G363*AP363</f>
      </c>
      <c r="BJ363" s="57">
        <f>G363*H363</f>
      </c>
      <c r="BK363" s="57"/>
      <c r="BL363" s="57"/>
      <c r="BW363" s="57" t="n">
        <v>21</v>
      </c>
      <c r="BX363" s="16" t="s">
        <v>171</v>
      </c>
    </row>
    <row r="364">
      <c r="A364" s="10" t="s">
        <v>511</v>
      </c>
      <c r="B364" s="11" t="s">
        <v>358</v>
      </c>
      <c r="C364" s="11" t="s">
        <v>174</v>
      </c>
      <c r="D364" s="16" t="s">
        <v>175</v>
      </c>
      <c r="E364" s="11"/>
      <c r="F364" s="11" t="s">
        <v>164</v>
      </c>
      <c r="G364" s="57" t="n">
        <v>2505.6</v>
      </c>
      <c r="H364" s="58" t="n">
        <v>0</v>
      </c>
      <c r="I364" s="57">
        <f>G364*AO364</f>
      </c>
      <c r="J364" s="57">
        <f>G364*AP364</f>
      </c>
      <c r="K364" s="57">
        <f>G364*H364</f>
      </c>
      <c r="L364" s="59" t="s">
        <v>60</v>
      </c>
      <c r="Z364" s="57">
        <f>IF(AQ364="5",BJ364,0)</f>
      </c>
      <c r="AB364" s="57">
        <f>IF(AQ364="1",BH364,0)</f>
      </c>
      <c r="AC364" s="57">
        <f>IF(AQ364="1",BI364,0)</f>
      </c>
      <c r="AD364" s="57">
        <f>IF(AQ364="7",BH364,0)</f>
      </c>
      <c r="AE364" s="57">
        <f>IF(AQ364="7",BI364,0)</f>
      </c>
      <c r="AF364" s="57">
        <f>IF(AQ364="2",BH364,0)</f>
      </c>
      <c r="AG364" s="57">
        <f>IF(AQ364="2",BI364,0)</f>
      </c>
      <c r="AH364" s="57">
        <f>IF(AQ364="0",BJ364,0)</f>
      </c>
      <c r="AI364" s="33" t="s">
        <v>358</v>
      </c>
      <c r="AJ364" s="57">
        <f>IF(AN364=0,K364,0)</f>
      </c>
      <c r="AK364" s="57">
        <f>IF(AN364=12,K364,0)</f>
      </c>
      <c r="AL364" s="57">
        <f>IF(AN364=21,K364,0)</f>
      </c>
      <c r="AN364" s="57" t="n">
        <v>21</v>
      </c>
      <c r="AO364" s="57">
        <f>H364*0</f>
      </c>
      <c r="AP364" s="57">
        <f>H364*(1-0)</f>
      </c>
      <c r="AQ364" s="60" t="s">
        <v>89</v>
      </c>
      <c r="AV364" s="57">
        <f>AW364+AX364</f>
      </c>
      <c r="AW364" s="57">
        <f>G364*AO364</f>
      </c>
      <c r="AX364" s="57">
        <f>G364*AP364</f>
      </c>
      <c r="AY364" s="60" t="s">
        <v>172</v>
      </c>
      <c r="AZ364" s="60" t="s">
        <v>504</v>
      </c>
      <c r="BA364" s="33" t="s">
        <v>364</v>
      </c>
      <c r="BC364" s="57">
        <f>AW364+AX364</f>
      </c>
      <c r="BD364" s="57">
        <f>H364/(100-BE364)*100</f>
      </c>
      <c r="BE364" s="57" t="n">
        <v>0</v>
      </c>
      <c r="BF364" s="57">
        <f>364</f>
      </c>
      <c r="BH364" s="57">
        <f>G364*AO364</f>
      </c>
      <c r="BI364" s="57">
        <f>G364*AP364</f>
      </c>
      <c r="BJ364" s="57">
        <f>G364*H364</f>
      </c>
      <c r="BK364" s="57"/>
      <c r="BL364" s="57"/>
      <c r="BW364" s="57" t="n">
        <v>21</v>
      </c>
      <c r="BX364" s="16" t="s">
        <v>175</v>
      </c>
    </row>
    <row r="365">
      <c r="A365" s="61"/>
      <c r="D365" s="62" t="s">
        <v>512</v>
      </c>
      <c r="E365" s="63" t="s">
        <v>51</v>
      </c>
      <c r="G365" s="64" t="n">
        <v>2505.6</v>
      </c>
      <c r="L365" s="65"/>
    </row>
    <row r="366" customHeight="true" ht="13.5">
      <c r="A366" s="61"/>
      <c r="C366" s="71" t="s">
        <v>87</v>
      </c>
      <c r="D366" s="72" t="s">
        <v>177</v>
      </c>
      <c r="E366" s="73"/>
      <c r="F366" s="73"/>
      <c r="G366" s="73"/>
      <c r="H366" s="74"/>
      <c r="I366" s="73"/>
      <c r="J366" s="73"/>
      <c r="K366" s="73"/>
      <c r="L366" s="75"/>
    </row>
    <row r="367">
      <c r="A367" s="10" t="s">
        <v>513</v>
      </c>
      <c r="B367" s="11" t="s">
        <v>358</v>
      </c>
      <c r="C367" s="11" t="s">
        <v>187</v>
      </c>
      <c r="D367" s="16" t="s">
        <v>280</v>
      </c>
      <c r="E367" s="11"/>
      <c r="F367" s="11" t="s">
        <v>164</v>
      </c>
      <c r="G367" s="57" t="n">
        <v>278.4</v>
      </c>
      <c r="H367" s="58" t="n">
        <v>0</v>
      </c>
      <c r="I367" s="57">
        <f>G367*AO367</f>
      </c>
      <c r="J367" s="57">
        <f>G367*AP367</f>
      </c>
      <c r="K367" s="57">
        <f>G367*H367</f>
      </c>
      <c r="L367" s="59" t="s">
        <v>60</v>
      </c>
      <c r="Z367" s="57">
        <f>IF(AQ367="5",BJ367,0)</f>
      </c>
      <c r="AB367" s="57">
        <f>IF(AQ367="1",BH367,0)</f>
      </c>
      <c r="AC367" s="57">
        <f>IF(AQ367="1",BI367,0)</f>
      </c>
      <c r="AD367" s="57">
        <f>IF(AQ367="7",BH367,0)</f>
      </c>
      <c r="AE367" s="57">
        <f>IF(AQ367="7",BI367,0)</f>
      </c>
      <c r="AF367" s="57">
        <f>IF(AQ367="2",BH367,0)</f>
      </c>
      <c r="AG367" s="57">
        <f>IF(AQ367="2",BI367,0)</f>
      </c>
      <c r="AH367" s="57">
        <f>IF(AQ367="0",BJ367,0)</f>
      </c>
      <c r="AI367" s="33" t="s">
        <v>358</v>
      </c>
      <c r="AJ367" s="57">
        <f>IF(AN367=0,K367,0)</f>
      </c>
      <c r="AK367" s="57">
        <f>IF(AN367=12,K367,0)</f>
      </c>
      <c r="AL367" s="57">
        <f>IF(AN367=21,K367,0)</f>
      </c>
      <c r="AN367" s="57" t="n">
        <v>21</v>
      </c>
      <c r="AO367" s="57">
        <f>H367*0</f>
      </c>
      <c r="AP367" s="57">
        <f>H367*(1-0)</f>
      </c>
      <c r="AQ367" s="60" t="s">
        <v>89</v>
      </c>
      <c r="AV367" s="57">
        <f>AW367+AX367</f>
      </c>
      <c r="AW367" s="57">
        <f>G367*AO367</f>
      </c>
      <c r="AX367" s="57">
        <f>G367*AP367</f>
      </c>
      <c r="AY367" s="60" t="s">
        <v>172</v>
      </c>
      <c r="AZ367" s="60" t="s">
        <v>504</v>
      </c>
      <c r="BA367" s="33" t="s">
        <v>364</v>
      </c>
      <c r="BC367" s="57">
        <f>AW367+AX367</f>
      </c>
      <c r="BD367" s="57">
        <f>H367/(100-BE367)*100</f>
      </c>
      <c r="BE367" s="57" t="n">
        <v>0</v>
      </c>
      <c r="BF367" s="57">
        <f>367</f>
      </c>
      <c r="BH367" s="57">
        <f>G367*AO367</f>
      </c>
      <c r="BI367" s="57">
        <f>G367*AP367</f>
      </c>
      <c r="BJ367" s="57">
        <f>G367*H367</f>
      </c>
      <c r="BK367" s="57"/>
      <c r="BL367" s="57"/>
      <c r="BW367" s="57" t="n">
        <v>21</v>
      </c>
      <c r="BX367" s="16" t="s">
        <v>280</v>
      </c>
    </row>
    <row r="368" customHeight="true" ht="13.5">
      <c r="A368" s="61"/>
      <c r="C368" s="71" t="s">
        <v>87</v>
      </c>
      <c r="D368" s="72" t="s">
        <v>189</v>
      </c>
      <c r="E368" s="73"/>
      <c r="F368" s="73"/>
      <c r="G368" s="73"/>
      <c r="H368" s="74"/>
      <c r="I368" s="73"/>
      <c r="J368" s="73"/>
      <c r="K368" s="73"/>
      <c r="L368" s="75"/>
    </row>
    <row r="369">
      <c r="A369" s="51" t="s">
        <v>51</v>
      </c>
      <c r="B369" s="52" t="s">
        <v>358</v>
      </c>
      <c r="C369" s="52" t="s">
        <v>190</v>
      </c>
      <c r="D369" s="53" t="s">
        <v>191</v>
      </c>
      <c r="E369" s="52"/>
      <c r="F369" s="54" t="s">
        <v>4</v>
      </c>
      <c r="G369" s="54" t="s">
        <v>4</v>
      </c>
      <c r="H369" s="55" t="s">
        <v>4</v>
      </c>
      <c r="I369" s="2">
        <f>SUM(I370:I399)</f>
      </c>
      <c r="J369" s="2">
        <f>SUM(J370:J399)</f>
      </c>
      <c r="K369" s="2">
        <f>SUM(K370:K399)</f>
      </c>
      <c r="L369" s="56" t="s">
        <v>51</v>
      </c>
      <c r="AI369" s="33" t="s">
        <v>358</v>
      </c>
      <c r="AS369" s="2">
        <f>SUM(AJ370:AJ399)</f>
      </c>
      <c r="AT369" s="2">
        <f>SUM(AK370:AK399)</f>
      </c>
      <c r="AU369" s="2">
        <f>SUM(AL370:AL399)</f>
      </c>
    </row>
    <row r="370">
      <c r="A370" s="10" t="s">
        <v>514</v>
      </c>
      <c r="B370" s="11" t="s">
        <v>358</v>
      </c>
      <c r="C370" s="11" t="s">
        <v>193</v>
      </c>
      <c r="D370" s="16" t="s">
        <v>194</v>
      </c>
      <c r="E370" s="11"/>
      <c r="F370" s="11" t="s">
        <v>195</v>
      </c>
      <c r="G370" s="57" t="n">
        <v>1.8</v>
      </c>
      <c r="H370" s="58" t="n">
        <v>0</v>
      </c>
      <c r="I370" s="57">
        <f>G370*AO370</f>
      </c>
      <c r="J370" s="57">
        <f>G370*AP370</f>
      </c>
      <c r="K370" s="57">
        <f>G370*H370</f>
      </c>
      <c r="L370" s="59" t="s">
        <v>60</v>
      </c>
      <c r="Z370" s="57">
        <f>IF(AQ370="5",BJ370,0)</f>
      </c>
      <c r="AB370" s="57">
        <f>IF(AQ370="1",BH370,0)</f>
      </c>
      <c r="AC370" s="57">
        <f>IF(AQ370="1",BI370,0)</f>
      </c>
      <c r="AD370" s="57">
        <f>IF(AQ370="7",BH370,0)</f>
      </c>
      <c r="AE370" s="57">
        <f>IF(AQ370="7",BI370,0)</f>
      </c>
      <c r="AF370" s="57">
        <f>IF(AQ370="2",BH370,0)</f>
      </c>
      <c r="AG370" s="57">
        <f>IF(AQ370="2",BI370,0)</f>
      </c>
      <c r="AH370" s="57">
        <f>IF(AQ370="0",BJ370,0)</f>
      </c>
      <c r="AI370" s="33" t="s">
        <v>358</v>
      </c>
      <c r="AJ370" s="57">
        <f>IF(AN370=0,K370,0)</f>
      </c>
      <c r="AK370" s="57">
        <f>IF(AN370=12,K370,0)</f>
      </c>
      <c r="AL370" s="57">
        <f>IF(AN370=21,K370,0)</f>
      </c>
      <c r="AN370" s="57" t="n">
        <v>21</v>
      </c>
      <c r="AO370" s="57">
        <f>H370*1</f>
      </c>
      <c r="AP370" s="57">
        <f>H370*(1-1)</f>
      </c>
      <c r="AQ370" s="60" t="s">
        <v>196</v>
      </c>
      <c r="AV370" s="57">
        <f>AW370+AX370</f>
      </c>
      <c r="AW370" s="57">
        <f>G370*AO370</f>
      </c>
      <c r="AX370" s="57">
        <f>G370*AP370</f>
      </c>
      <c r="AY370" s="60" t="s">
        <v>197</v>
      </c>
      <c r="AZ370" s="60" t="s">
        <v>515</v>
      </c>
      <c r="BA370" s="33" t="s">
        <v>364</v>
      </c>
      <c r="BC370" s="57">
        <f>AW370+AX370</f>
      </c>
      <c r="BD370" s="57">
        <f>H370/(100-BE370)*100</f>
      </c>
      <c r="BE370" s="57" t="n">
        <v>0</v>
      </c>
      <c r="BF370" s="57">
        <f>370</f>
      </c>
      <c r="BH370" s="57">
        <f>G370*AO370</f>
      </c>
      <c r="BI370" s="57">
        <f>G370*AP370</f>
      </c>
      <c r="BJ370" s="57">
        <f>G370*H370</f>
      </c>
      <c r="BK370" s="57"/>
      <c r="BL370" s="57"/>
      <c r="BW370" s="57" t="n">
        <v>21</v>
      </c>
      <c r="BX370" s="16" t="s">
        <v>194</v>
      </c>
    </row>
    <row r="371">
      <c r="A371" s="61"/>
      <c r="D371" s="62" t="s">
        <v>516</v>
      </c>
      <c r="E371" s="63" t="s">
        <v>51</v>
      </c>
      <c r="G371" s="64" t="n">
        <v>1.8</v>
      </c>
      <c r="L371" s="65"/>
    </row>
    <row r="372">
      <c r="A372" s="10" t="s">
        <v>517</v>
      </c>
      <c r="B372" s="11" t="s">
        <v>358</v>
      </c>
      <c r="C372" s="11" t="s">
        <v>201</v>
      </c>
      <c r="D372" s="16" t="s">
        <v>202</v>
      </c>
      <c r="E372" s="11"/>
      <c r="F372" s="11" t="s">
        <v>164</v>
      </c>
      <c r="G372" s="57" t="n">
        <v>15.36</v>
      </c>
      <c r="H372" s="58" t="n">
        <v>0</v>
      </c>
      <c r="I372" s="57">
        <f>G372*AO372</f>
      </c>
      <c r="J372" s="57">
        <f>G372*AP372</f>
      </c>
      <c r="K372" s="57">
        <f>G372*H372</f>
      </c>
      <c r="L372" s="59" t="s">
        <v>60</v>
      </c>
      <c r="Z372" s="57">
        <f>IF(AQ372="5",BJ372,0)</f>
      </c>
      <c r="AB372" s="57">
        <f>IF(AQ372="1",BH372,0)</f>
      </c>
      <c r="AC372" s="57">
        <f>IF(AQ372="1",BI372,0)</f>
      </c>
      <c r="AD372" s="57">
        <f>IF(AQ372="7",BH372,0)</f>
      </c>
      <c r="AE372" s="57">
        <f>IF(AQ372="7",BI372,0)</f>
      </c>
      <c r="AF372" s="57">
        <f>IF(AQ372="2",BH372,0)</f>
      </c>
      <c r="AG372" s="57">
        <f>IF(AQ372="2",BI372,0)</f>
      </c>
      <c r="AH372" s="57">
        <f>IF(AQ372="0",BJ372,0)</f>
      </c>
      <c r="AI372" s="33" t="s">
        <v>358</v>
      </c>
      <c r="AJ372" s="57">
        <f>IF(AN372=0,K372,0)</f>
      </c>
      <c r="AK372" s="57">
        <f>IF(AN372=12,K372,0)</f>
      </c>
      <c r="AL372" s="57">
        <f>IF(AN372=21,K372,0)</f>
      </c>
      <c r="AN372" s="57" t="n">
        <v>21</v>
      </c>
      <c r="AO372" s="57">
        <f>H372*1</f>
      </c>
      <c r="AP372" s="57">
        <f>H372*(1-1)</f>
      </c>
      <c r="AQ372" s="60" t="s">
        <v>196</v>
      </c>
      <c r="AV372" s="57">
        <f>AW372+AX372</f>
      </c>
      <c r="AW372" s="57">
        <f>G372*AO372</f>
      </c>
      <c r="AX372" s="57">
        <f>G372*AP372</f>
      </c>
      <c r="AY372" s="60" t="s">
        <v>197</v>
      </c>
      <c r="AZ372" s="60" t="s">
        <v>515</v>
      </c>
      <c r="BA372" s="33" t="s">
        <v>364</v>
      </c>
      <c r="BC372" s="57">
        <f>AW372+AX372</f>
      </c>
      <c r="BD372" s="57">
        <f>H372/(100-BE372)*100</f>
      </c>
      <c r="BE372" s="57" t="n">
        <v>0</v>
      </c>
      <c r="BF372" s="57">
        <f>372</f>
      </c>
      <c r="BH372" s="57">
        <f>G372*AO372</f>
      </c>
      <c r="BI372" s="57">
        <f>G372*AP372</f>
      </c>
      <c r="BJ372" s="57">
        <f>G372*H372</f>
      </c>
      <c r="BK372" s="57"/>
      <c r="BL372" s="57"/>
      <c r="BW372" s="57" t="n">
        <v>21</v>
      </c>
      <c r="BX372" s="16" t="s">
        <v>202</v>
      </c>
    </row>
    <row r="373">
      <c r="A373" s="61"/>
      <c r="D373" s="62" t="s">
        <v>518</v>
      </c>
      <c r="E373" s="63" t="s">
        <v>51</v>
      </c>
      <c r="G373" s="64" t="n">
        <v>15.36</v>
      </c>
      <c r="L373" s="65"/>
    </row>
    <row r="374">
      <c r="A374" s="10" t="s">
        <v>519</v>
      </c>
      <c r="B374" s="11" t="s">
        <v>358</v>
      </c>
      <c r="C374" s="11" t="s">
        <v>520</v>
      </c>
      <c r="D374" s="16" t="s">
        <v>521</v>
      </c>
      <c r="E374" s="11"/>
      <c r="F374" s="11" t="s">
        <v>164</v>
      </c>
      <c r="G374" s="57" t="n">
        <v>5.07</v>
      </c>
      <c r="H374" s="58" t="n">
        <v>0</v>
      </c>
      <c r="I374" s="57">
        <f>G374*AO374</f>
      </c>
      <c r="J374" s="57">
        <f>G374*AP374</f>
      </c>
      <c r="K374" s="57">
        <f>G374*H374</f>
      </c>
      <c r="L374" s="59" t="s">
        <v>60</v>
      </c>
      <c r="Z374" s="57">
        <f>IF(AQ374="5",BJ374,0)</f>
      </c>
      <c r="AB374" s="57">
        <f>IF(AQ374="1",BH374,0)</f>
      </c>
      <c r="AC374" s="57">
        <f>IF(AQ374="1",BI374,0)</f>
      </c>
      <c r="AD374" s="57">
        <f>IF(AQ374="7",BH374,0)</f>
      </c>
      <c r="AE374" s="57">
        <f>IF(AQ374="7",BI374,0)</f>
      </c>
      <c r="AF374" s="57">
        <f>IF(AQ374="2",BH374,0)</f>
      </c>
      <c r="AG374" s="57">
        <f>IF(AQ374="2",BI374,0)</f>
      </c>
      <c r="AH374" s="57">
        <f>IF(AQ374="0",BJ374,0)</f>
      </c>
      <c r="AI374" s="33" t="s">
        <v>358</v>
      </c>
      <c r="AJ374" s="57">
        <f>IF(AN374=0,K374,0)</f>
      </c>
      <c r="AK374" s="57">
        <f>IF(AN374=12,K374,0)</f>
      </c>
      <c r="AL374" s="57">
        <f>IF(AN374=21,K374,0)</f>
      </c>
      <c r="AN374" s="57" t="n">
        <v>21</v>
      </c>
      <c r="AO374" s="57">
        <f>H374*1</f>
      </c>
      <c r="AP374" s="57">
        <f>H374*(1-1)</f>
      </c>
      <c r="AQ374" s="60" t="s">
        <v>196</v>
      </c>
      <c r="AV374" s="57">
        <f>AW374+AX374</f>
      </c>
      <c r="AW374" s="57">
        <f>G374*AO374</f>
      </c>
      <c r="AX374" s="57">
        <f>G374*AP374</f>
      </c>
      <c r="AY374" s="60" t="s">
        <v>197</v>
      </c>
      <c r="AZ374" s="60" t="s">
        <v>515</v>
      </c>
      <c r="BA374" s="33" t="s">
        <v>364</v>
      </c>
      <c r="BC374" s="57">
        <f>AW374+AX374</f>
      </c>
      <c r="BD374" s="57">
        <f>H374/(100-BE374)*100</f>
      </c>
      <c r="BE374" s="57" t="n">
        <v>0</v>
      </c>
      <c r="BF374" s="57">
        <f>374</f>
      </c>
      <c r="BH374" s="57">
        <f>G374*AO374</f>
      </c>
      <c r="BI374" s="57">
        <f>G374*AP374</f>
      </c>
      <c r="BJ374" s="57">
        <f>G374*H374</f>
      </c>
      <c r="BK374" s="57"/>
      <c r="BL374" s="57"/>
      <c r="BW374" s="57" t="n">
        <v>21</v>
      </c>
      <c r="BX374" s="16" t="s">
        <v>521</v>
      </c>
    </row>
    <row r="375">
      <c r="A375" s="61"/>
      <c r="D375" s="62" t="s">
        <v>522</v>
      </c>
      <c r="E375" s="63" t="s">
        <v>51</v>
      </c>
      <c r="G375" s="64" t="n">
        <v>5.07</v>
      </c>
      <c r="L375" s="65"/>
    </row>
    <row r="376" customHeight="true" ht="13.5">
      <c r="A376" s="61"/>
      <c r="C376" s="71" t="s">
        <v>87</v>
      </c>
      <c r="D376" s="72" t="s">
        <v>523</v>
      </c>
      <c r="E376" s="73"/>
      <c r="F376" s="73"/>
      <c r="G376" s="73"/>
      <c r="H376" s="74"/>
      <c r="I376" s="73"/>
      <c r="J376" s="73"/>
      <c r="K376" s="73"/>
      <c r="L376" s="75"/>
    </row>
    <row r="377">
      <c r="A377" s="10" t="s">
        <v>524</v>
      </c>
      <c r="B377" s="11" t="s">
        <v>358</v>
      </c>
      <c r="C377" s="11" t="s">
        <v>205</v>
      </c>
      <c r="D377" s="16" t="s">
        <v>206</v>
      </c>
      <c r="E377" s="11"/>
      <c r="F377" s="11" t="s">
        <v>207</v>
      </c>
      <c r="G377" s="57" t="n">
        <v>61.71</v>
      </c>
      <c r="H377" s="58" t="n">
        <v>0</v>
      </c>
      <c r="I377" s="57">
        <f>G377*AO377</f>
      </c>
      <c r="J377" s="57">
        <f>G377*AP377</f>
      </c>
      <c r="K377" s="57">
        <f>G377*H377</f>
      </c>
      <c r="L377" s="59" t="s">
        <v>60</v>
      </c>
      <c r="Z377" s="57">
        <f>IF(AQ377="5",BJ377,0)</f>
      </c>
      <c r="AB377" s="57">
        <f>IF(AQ377="1",BH377,0)</f>
      </c>
      <c r="AC377" s="57">
        <f>IF(AQ377="1",BI377,0)</f>
      </c>
      <c r="AD377" s="57">
        <f>IF(AQ377="7",BH377,0)</f>
      </c>
      <c r="AE377" s="57">
        <f>IF(AQ377="7",BI377,0)</f>
      </c>
      <c r="AF377" s="57">
        <f>IF(AQ377="2",BH377,0)</f>
      </c>
      <c r="AG377" s="57">
        <f>IF(AQ377="2",BI377,0)</f>
      </c>
      <c r="AH377" s="57">
        <f>IF(AQ377="0",BJ377,0)</f>
      </c>
      <c r="AI377" s="33" t="s">
        <v>358</v>
      </c>
      <c r="AJ377" s="57">
        <f>IF(AN377=0,K377,0)</f>
      </c>
      <c r="AK377" s="57">
        <f>IF(AN377=12,K377,0)</f>
      </c>
      <c r="AL377" s="57">
        <f>IF(AN377=21,K377,0)</f>
      </c>
      <c r="AN377" s="57" t="n">
        <v>21</v>
      </c>
      <c r="AO377" s="57">
        <f>H377*1</f>
      </c>
      <c r="AP377" s="57">
        <f>H377*(1-1)</f>
      </c>
      <c r="AQ377" s="60" t="s">
        <v>196</v>
      </c>
      <c r="AV377" s="57">
        <f>AW377+AX377</f>
      </c>
      <c r="AW377" s="57">
        <f>G377*AO377</f>
      </c>
      <c r="AX377" s="57">
        <f>G377*AP377</f>
      </c>
      <c r="AY377" s="60" t="s">
        <v>197</v>
      </c>
      <c r="AZ377" s="60" t="s">
        <v>515</v>
      </c>
      <c r="BA377" s="33" t="s">
        <v>364</v>
      </c>
      <c r="BC377" s="57">
        <f>AW377+AX377</f>
      </c>
      <c r="BD377" s="57">
        <f>H377/(100-BE377)*100</f>
      </c>
      <c r="BE377" s="57" t="n">
        <v>0</v>
      </c>
      <c r="BF377" s="57">
        <f>377</f>
      </c>
      <c r="BH377" s="57">
        <f>G377*AO377</f>
      </c>
      <c r="BI377" s="57">
        <f>G377*AP377</f>
      </c>
      <c r="BJ377" s="57">
        <f>G377*H377</f>
      </c>
      <c r="BK377" s="57"/>
      <c r="BL377" s="57"/>
      <c r="BW377" s="57" t="n">
        <v>21</v>
      </c>
      <c r="BX377" s="16" t="s">
        <v>206</v>
      </c>
    </row>
    <row r="378">
      <c r="A378" s="61"/>
      <c r="D378" s="62" t="s">
        <v>525</v>
      </c>
      <c r="E378" s="63" t="s">
        <v>51</v>
      </c>
      <c r="G378" s="64" t="n">
        <v>60.5</v>
      </c>
      <c r="L378" s="65"/>
    </row>
    <row r="379">
      <c r="A379" s="61"/>
      <c r="D379" s="62" t="s">
        <v>526</v>
      </c>
      <c r="E379" s="63" t="s">
        <v>51</v>
      </c>
      <c r="G379" s="64" t="n">
        <v>1.21</v>
      </c>
      <c r="L379" s="65"/>
    </row>
    <row r="380">
      <c r="A380" s="10" t="s">
        <v>527</v>
      </c>
      <c r="B380" s="11" t="s">
        <v>358</v>
      </c>
      <c r="C380" s="11" t="s">
        <v>528</v>
      </c>
      <c r="D380" s="16" t="s">
        <v>529</v>
      </c>
      <c r="E380" s="11"/>
      <c r="F380" s="11" t="s">
        <v>207</v>
      </c>
      <c r="G380" s="57" t="n">
        <v>11.73</v>
      </c>
      <c r="H380" s="58" t="n">
        <v>0</v>
      </c>
      <c r="I380" s="57">
        <f>G380*AO380</f>
      </c>
      <c r="J380" s="57">
        <f>G380*AP380</f>
      </c>
      <c r="K380" s="57">
        <f>G380*H380</f>
      </c>
      <c r="L380" s="59" t="s">
        <v>60</v>
      </c>
      <c r="Z380" s="57">
        <f>IF(AQ380="5",BJ380,0)</f>
      </c>
      <c r="AB380" s="57">
        <f>IF(AQ380="1",BH380,0)</f>
      </c>
      <c r="AC380" s="57">
        <f>IF(AQ380="1",BI380,0)</f>
      </c>
      <c r="AD380" s="57">
        <f>IF(AQ380="7",BH380,0)</f>
      </c>
      <c r="AE380" s="57">
        <f>IF(AQ380="7",BI380,0)</f>
      </c>
      <c r="AF380" s="57">
        <f>IF(AQ380="2",BH380,0)</f>
      </c>
      <c r="AG380" s="57">
        <f>IF(AQ380="2",BI380,0)</f>
      </c>
      <c r="AH380" s="57">
        <f>IF(AQ380="0",BJ380,0)</f>
      </c>
      <c r="AI380" s="33" t="s">
        <v>358</v>
      </c>
      <c r="AJ380" s="57">
        <f>IF(AN380=0,K380,0)</f>
      </c>
      <c r="AK380" s="57">
        <f>IF(AN380=12,K380,0)</f>
      </c>
      <c r="AL380" s="57">
        <f>IF(AN380=21,K380,0)</f>
      </c>
      <c r="AN380" s="57" t="n">
        <v>21</v>
      </c>
      <c r="AO380" s="57">
        <f>H380*1</f>
      </c>
      <c r="AP380" s="57">
        <f>H380*(1-1)</f>
      </c>
      <c r="AQ380" s="60" t="s">
        <v>196</v>
      </c>
      <c r="AV380" s="57">
        <f>AW380+AX380</f>
      </c>
      <c r="AW380" s="57">
        <f>G380*AO380</f>
      </c>
      <c r="AX380" s="57">
        <f>G380*AP380</f>
      </c>
      <c r="AY380" s="60" t="s">
        <v>197</v>
      </c>
      <c r="AZ380" s="60" t="s">
        <v>515</v>
      </c>
      <c r="BA380" s="33" t="s">
        <v>364</v>
      </c>
      <c r="BC380" s="57">
        <f>AW380+AX380</f>
      </c>
      <c r="BD380" s="57">
        <f>H380/(100-BE380)*100</f>
      </c>
      <c r="BE380" s="57" t="n">
        <v>0</v>
      </c>
      <c r="BF380" s="57">
        <f>380</f>
      </c>
      <c r="BH380" s="57">
        <f>G380*AO380</f>
      </c>
      <c r="BI380" s="57">
        <f>G380*AP380</f>
      </c>
      <c r="BJ380" s="57">
        <f>G380*H380</f>
      </c>
      <c r="BK380" s="57"/>
      <c r="BL380" s="57"/>
      <c r="BW380" s="57" t="n">
        <v>21</v>
      </c>
      <c r="BX380" s="16" t="s">
        <v>529</v>
      </c>
    </row>
    <row r="381">
      <c r="A381" s="61"/>
      <c r="D381" s="62" t="s">
        <v>530</v>
      </c>
      <c r="E381" s="63" t="s">
        <v>51</v>
      </c>
      <c r="G381" s="64" t="n">
        <v>11.5</v>
      </c>
      <c r="L381" s="65"/>
    </row>
    <row r="382">
      <c r="A382" s="61"/>
      <c r="D382" s="62" t="s">
        <v>531</v>
      </c>
      <c r="E382" s="63" t="s">
        <v>51</v>
      </c>
      <c r="G382" s="64" t="n">
        <v>0.23</v>
      </c>
      <c r="L382" s="65"/>
    </row>
    <row r="383">
      <c r="A383" s="10" t="s">
        <v>532</v>
      </c>
      <c r="B383" s="11" t="s">
        <v>358</v>
      </c>
      <c r="C383" s="11" t="s">
        <v>290</v>
      </c>
      <c r="D383" s="16" t="s">
        <v>291</v>
      </c>
      <c r="E383" s="11"/>
      <c r="F383" s="11" t="s">
        <v>207</v>
      </c>
      <c r="G383" s="57" t="n">
        <v>24.48</v>
      </c>
      <c r="H383" s="58" t="n">
        <v>0</v>
      </c>
      <c r="I383" s="57">
        <f>G383*AO383</f>
      </c>
      <c r="J383" s="57">
        <f>G383*AP383</f>
      </c>
      <c r="K383" s="57">
        <f>G383*H383</f>
      </c>
      <c r="L383" s="59" t="s">
        <v>60</v>
      </c>
      <c r="Z383" s="57">
        <f>IF(AQ383="5",BJ383,0)</f>
      </c>
      <c r="AB383" s="57">
        <f>IF(AQ383="1",BH383,0)</f>
      </c>
      <c r="AC383" s="57">
        <f>IF(AQ383="1",BI383,0)</f>
      </c>
      <c r="AD383" s="57">
        <f>IF(AQ383="7",BH383,0)</f>
      </c>
      <c r="AE383" s="57">
        <f>IF(AQ383="7",BI383,0)</f>
      </c>
      <c r="AF383" s="57">
        <f>IF(AQ383="2",BH383,0)</f>
      </c>
      <c r="AG383" s="57">
        <f>IF(AQ383="2",BI383,0)</f>
      </c>
      <c r="AH383" s="57">
        <f>IF(AQ383="0",BJ383,0)</f>
      </c>
      <c r="AI383" s="33" t="s">
        <v>358</v>
      </c>
      <c r="AJ383" s="57">
        <f>IF(AN383=0,K383,0)</f>
      </c>
      <c r="AK383" s="57">
        <f>IF(AN383=12,K383,0)</f>
      </c>
      <c r="AL383" s="57">
        <f>IF(AN383=21,K383,0)</f>
      </c>
      <c r="AN383" s="57" t="n">
        <v>21</v>
      </c>
      <c r="AO383" s="57">
        <f>H383*1</f>
      </c>
      <c r="AP383" s="57">
        <f>H383*(1-1)</f>
      </c>
      <c r="AQ383" s="60" t="s">
        <v>196</v>
      </c>
      <c r="AV383" s="57">
        <f>AW383+AX383</f>
      </c>
      <c r="AW383" s="57">
        <f>G383*AO383</f>
      </c>
      <c r="AX383" s="57">
        <f>G383*AP383</f>
      </c>
      <c r="AY383" s="60" t="s">
        <v>197</v>
      </c>
      <c r="AZ383" s="60" t="s">
        <v>515</v>
      </c>
      <c r="BA383" s="33" t="s">
        <v>364</v>
      </c>
      <c r="BC383" s="57">
        <f>AW383+AX383</f>
      </c>
      <c r="BD383" s="57">
        <f>H383/(100-BE383)*100</f>
      </c>
      <c r="BE383" s="57" t="n">
        <v>0</v>
      </c>
      <c r="BF383" s="57">
        <f>383</f>
      </c>
      <c r="BH383" s="57">
        <f>G383*AO383</f>
      </c>
      <c r="BI383" s="57">
        <f>G383*AP383</f>
      </c>
      <c r="BJ383" s="57">
        <f>G383*H383</f>
      </c>
      <c r="BK383" s="57"/>
      <c r="BL383" s="57"/>
      <c r="BW383" s="57" t="n">
        <v>21</v>
      </c>
      <c r="BX383" s="16" t="s">
        <v>291</v>
      </c>
    </row>
    <row r="384">
      <c r="A384" s="61"/>
      <c r="D384" s="62" t="s">
        <v>186</v>
      </c>
      <c r="E384" s="63" t="s">
        <v>51</v>
      </c>
      <c r="G384" s="64" t="n">
        <v>24</v>
      </c>
      <c r="L384" s="65"/>
    </row>
    <row r="385">
      <c r="A385" s="61"/>
      <c r="D385" s="62" t="s">
        <v>533</v>
      </c>
      <c r="E385" s="63" t="s">
        <v>51</v>
      </c>
      <c r="G385" s="64" t="n">
        <v>0.48</v>
      </c>
      <c r="L385" s="65"/>
    </row>
    <row r="386">
      <c r="A386" s="10" t="s">
        <v>534</v>
      </c>
      <c r="B386" s="11" t="s">
        <v>358</v>
      </c>
      <c r="C386" s="11" t="s">
        <v>535</v>
      </c>
      <c r="D386" s="16" t="s">
        <v>536</v>
      </c>
      <c r="E386" s="11"/>
      <c r="F386" s="11" t="s">
        <v>59</v>
      </c>
      <c r="G386" s="57" t="n">
        <v>10.61</v>
      </c>
      <c r="H386" s="58" t="n">
        <v>0</v>
      </c>
      <c r="I386" s="57">
        <f>G386*AO386</f>
      </c>
      <c r="J386" s="57">
        <f>G386*AP386</f>
      </c>
      <c r="K386" s="57">
        <f>G386*H386</f>
      </c>
      <c r="L386" s="59" t="s">
        <v>60</v>
      </c>
      <c r="Z386" s="57">
        <f>IF(AQ386="5",BJ386,0)</f>
      </c>
      <c r="AB386" s="57">
        <f>IF(AQ386="1",BH386,0)</f>
      </c>
      <c r="AC386" s="57">
        <f>IF(AQ386="1",BI386,0)</f>
      </c>
      <c r="AD386" s="57">
        <f>IF(AQ386="7",BH386,0)</f>
      </c>
      <c r="AE386" s="57">
        <f>IF(AQ386="7",BI386,0)</f>
      </c>
      <c r="AF386" s="57">
        <f>IF(AQ386="2",BH386,0)</f>
      </c>
      <c r="AG386" s="57">
        <f>IF(AQ386="2",BI386,0)</f>
      </c>
      <c r="AH386" s="57">
        <f>IF(AQ386="0",BJ386,0)</f>
      </c>
      <c r="AI386" s="33" t="s">
        <v>358</v>
      </c>
      <c r="AJ386" s="57">
        <f>IF(AN386=0,K386,0)</f>
      </c>
      <c r="AK386" s="57">
        <f>IF(AN386=12,K386,0)</f>
      </c>
      <c r="AL386" s="57">
        <f>IF(AN386=21,K386,0)</f>
      </c>
      <c r="AN386" s="57" t="n">
        <v>21</v>
      </c>
      <c r="AO386" s="57">
        <f>H386*1</f>
      </c>
      <c r="AP386" s="57">
        <f>H386*(1-1)</f>
      </c>
      <c r="AQ386" s="60" t="s">
        <v>196</v>
      </c>
      <c r="AV386" s="57">
        <f>AW386+AX386</f>
      </c>
      <c r="AW386" s="57">
        <f>G386*AO386</f>
      </c>
      <c r="AX386" s="57">
        <f>G386*AP386</f>
      </c>
      <c r="AY386" s="60" t="s">
        <v>197</v>
      </c>
      <c r="AZ386" s="60" t="s">
        <v>515</v>
      </c>
      <c r="BA386" s="33" t="s">
        <v>364</v>
      </c>
      <c r="BC386" s="57">
        <f>AW386+AX386</f>
      </c>
      <c r="BD386" s="57">
        <f>H386/(100-BE386)*100</f>
      </c>
      <c r="BE386" s="57" t="n">
        <v>0</v>
      </c>
      <c r="BF386" s="57">
        <f>386</f>
      </c>
      <c r="BH386" s="57">
        <f>G386*AO386</f>
      </c>
      <c r="BI386" s="57">
        <f>G386*AP386</f>
      </c>
      <c r="BJ386" s="57">
        <f>G386*H386</f>
      </c>
      <c r="BK386" s="57"/>
      <c r="BL386" s="57"/>
      <c r="BW386" s="57" t="n">
        <v>21</v>
      </c>
      <c r="BX386" s="16" t="s">
        <v>536</v>
      </c>
    </row>
    <row r="387">
      <c r="A387" s="61"/>
      <c r="D387" s="62" t="s">
        <v>537</v>
      </c>
      <c r="E387" s="63" t="s">
        <v>51</v>
      </c>
      <c r="G387" s="64" t="n">
        <v>10.1</v>
      </c>
      <c r="L387" s="65"/>
    </row>
    <row r="388">
      <c r="A388" s="61"/>
      <c r="D388" s="62" t="s">
        <v>538</v>
      </c>
      <c r="E388" s="63" t="s">
        <v>51</v>
      </c>
      <c r="G388" s="64" t="n">
        <v>0.51</v>
      </c>
      <c r="L388" s="65"/>
    </row>
    <row r="389">
      <c r="A389" s="10" t="s">
        <v>539</v>
      </c>
      <c r="B389" s="11" t="s">
        <v>358</v>
      </c>
      <c r="C389" s="11" t="s">
        <v>540</v>
      </c>
      <c r="D389" s="16" t="s">
        <v>541</v>
      </c>
      <c r="E389" s="11"/>
      <c r="F389" s="11" t="s">
        <v>59</v>
      </c>
      <c r="G389" s="57" t="n">
        <v>0.94</v>
      </c>
      <c r="H389" s="58" t="n">
        <v>0</v>
      </c>
      <c r="I389" s="57">
        <f>G389*AO389</f>
      </c>
      <c r="J389" s="57">
        <f>G389*AP389</f>
      </c>
      <c r="K389" s="57">
        <f>G389*H389</f>
      </c>
      <c r="L389" s="59" t="s">
        <v>60</v>
      </c>
      <c r="Z389" s="57">
        <f>IF(AQ389="5",BJ389,0)</f>
      </c>
      <c r="AB389" s="57">
        <f>IF(AQ389="1",BH389,0)</f>
      </c>
      <c r="AC389" s="57">
        <f>IF(AQ389="1",BI389,0)</f>
      </c>
      <c r="AD389" s="57">
        <f>IF(AQ389="7",BH389,0)</f>
      </c>
      <c r="AE389" s="57">
        <f>IF(AQ389="7",BI389,0)</f>
      </c>
      <c r="AF389" s="57">
        <f>IF(AQ389="2",BH389,0)</f>
      </c>
      <c r="AG389" s="57">
        <f>IF(AQ389="2",BI389,0)</f>
      </c>
      <c r="AH389" s="57">
        <f>IF(AQ389="0",BJ389,0)</f>
      </c>
      <c r="AI389" s="33" t="s">
        <v>358</v>
      </c>
      <c r="AJ389" s="57">
        <f>IF(AN389=0,K389,0)</f>
      </c>
      <c r="AK389" s="57">
        <f>IF(AN389=12,K389,0)</f>
      </c>
      <c r="AL389" s="57">
        <f>IF(AN389=21,K389,0)</f>
      </c>
      <c r="AN389" s="57" t="n">
        <v>21</v>
      </c>
      <c r="AO389" s="57">
        <f>H389*1</f>
      </c>
      <c r="AP389" s="57">
        <f>H389*(1-1)</f>
      </c>
      <c r="AQ389" s="60" t="s">
        <v>196</v>
      </c>
      <c r="AV389" s="57">
        <f>AW389+AX389</f>
      </c>
      <c r="AW389" s="57">
        <f>G389*AO389</f>
      </c>
      <c r="AX389" s="57">
        <f>G389*AP389</f>
      </c>
      <c r="AY389" s="60" t="s">
        <v>197</v>
      </c>
      <c r="AZ389" s="60" t="s">
        <v>515</v>
      </c>
      <c r="BA389" s="33" t="s">
        <v>364</v>
      </c>
      <c r="BC389" s="57">
        <f>AW389+AX389</f>
      </c>
      <c r="BD389" s="57">
        <f>H389/(100-BE389)*100</f>
      </c>
      <c r="BE389" s="57" t="n">
        <v>0</v>
      </c>
      <c r="BF389" s="57">
        <f>389</f>
      </c>
      <c r="BH389" s="57">
        <f>G389*AO389</f>
      </c>
      <c r="BI389" s="57">
        <f>G389*AP389</f>
      </c>
      <c r="BJ389" s="57">
        <f>G389*H389</f>
      </c>
      <c r="BK389" s="57"/>
      <c r="BL389" s="57"/>
      <c r="BW389" s="57" t="n">
        <v>21</v>
      </c>
      <c r="BX389" s="16" t="s">
        <v>541</v>
      </c>
    </row>
    <row r="390">
      <c r="A390" s="61"/>
      <c r="D390" s="62" t="s">
        <v>542</v>
      </c>
      <c r="E390" s="63" t="s">
        <v>51</v>
      </c>
      <c r="G390" s="64" t="n">
        <v>0.9</v>
      </c>
      <c r="L390" s="65"/>
    </row>
    <row r="391">
      <c r="A391" s="61"/>
      <c r="D391" s="62" t="s">
        <v>543</v>
      </c>
      <c r="E391" s="63" t="s">
        <v>51</v>
      </c>
      <c r="G391" s="64" t="n">
        <v>0.04</v>
      </c>
      <c r="L391" s="65"/>
    </row>
    <row r="392">
      <c r="A392" s="10" t="s">
        <v>544</v>
      </c>
      <c r="B392" s="11" t="s">
        <v>358</v>
      </c>
      <c r="C392" s="11" t="s">
        <v>545</v>
      </c>
      <c r="D392" s="16" t="s">
        <v>546</v>
      </c>
      <c r="E392" s="11"/>
      <c r="F392" s="11" t="s">
        <v>59</v>
      </c>
      <c r="G392" s="57" t="n">
        <v>30.45</v>
      </c>
      <c r="H392" s="58" t="n">
        <v>0</v>
      </c>
      <c r="I392" s="57">
        <f>G392*AO392</f>
      </c>
      <c r="J392" s="57">
        <f>G392*AP392</f>
      </c>
      <c r="K392" s="57">
        <f>G392*H392</f>
      </c>
      <c r="L392" s="59" t="s">
        <v>60</v>
      </c>
      <c r="Z392" s="57">
        <f>IF(AQ392="5",BJ392,0)</f>
      </c>
      <c r="AB392" s="57">
        <f>IF(AQ392="1",BH392,0)</f>
      </c>
      <c r="AC392" s="57">
        <f>IF(AQ392="1",BI392,0)</f>
      </c>
      <c r="AD392" s="57">
        <f>IF(AQ392="7",BH392,0)</f>
      </c>
      <c r="AE392" s="57">
        <f>IF(AQ392="7",BI392,0)</f>
      </c>
      <c r="AF392" s="57">
        <f>IF(AQ392="2",BH392,0)</f>
      </c>
      <c r="AG392" s="57">
        <f>IF(AQ392="2",BI392,0)</f>
      </c>
      <c r="AH392" s="57">
        <f>IF(AQ392="0",BJ392,0)</f>
      </c>
      <c r="AI392" s="33" t="s">
        <v>358</v>
      </c>
      <c r="AJ392" s="57">
        <f>IF(AN392=0,K392,0)</f>
      </c>
      <c r="AK392" s="57">
        <f>IF(AN392=12,K392,0)</f>
      </c>
      <c r="AL392" s="57">
        <f>IF(AN392=21,K392,0)</f>
      </c>
      <c r="AN392" s="57" t="n">
        <v>21</v>
      </c>
      <c r="AO392" s="57">
        <f>H392*1</f>
      </c>
      <c r="AP392" s="57">
        <f>H392*(1-1)</f>
      </c>
      <c r="AQ392" s="60" t="s">
        <v>196</v>
      </c>
      <c r="AV392" s="57">
        <f>AW392+AX392</f>
      </c>
      <c r="AW392" s="57">
        <f>G392*AO392</f>
      </c>
      <c r="AX392" s="57">
        <f>G392*AP392</f>
      </c>
      <c r="AY392" s="60" t="s">
        <v>197</v>
      </c>
      <c r="AZ392" s="60" t="s">
        <v>515</v>
      </c>
      <c r="BA392" s="33" t="s">
        <v>364</v>
      </c>
      <c r="BC392" s="57">
        <f>AW392+AX392</f>
      </c>
      <c r="BD392" s="57">
        <f>H392/(100-BE392)*100</f>
      </c>
      <c r="BE392" s="57" t="n">
        <v>0</v>
      </c>
      <c r="BF392" s="57">
        <f>392</f>
      </c>
      <c r="BH392" s="57">
        <f>G392*AO392</f>
      </c>
      <c r="BI392" s="57">
        <f>G392*AP392</f>
      </c>
      <c r="BJ392" s="57">
        <f>G392*H392</f>
      </c>
      <c r="BK392" s="57"/>
      <c r="BL392" s="57"/>
      <c r="BW392" s="57" t="n">
        <v>21</v>
      </c>
      <c r="BX392" s="16" t="s">
        <v>546</v>
      </c>
    </row>
    <row r="393">
      <c r="A393" s="61"/>
      <c r="D393" s="62" t="s">
        <v>547</v>
      </c>
      <c r="E393" s="63" t="s">
        <v>51</v>
      </c>
      <c r="G393" s="64" t="n">
        <v>29</v>
      </c>
      <c r="L393" s="65"/>
    </row>
    <row r="394">
      <c r="A394" s="61"/>
      <c r="D394" s="62" t="s">
        <v>548</v>
      </c>
      <c r="E394" s="63" t="s">
        <v>51</v>
      </c>
      <c r="G394" s="64" t="n">
        <v>1.45</v>
      </c>
      <c r="L394" s="65"/>
    </row>
    <row r="395">
      <c r="A395" s="10" t="s">
        <v>549</v>
      </c>
      <c r="B395" s="11" t="s">
        <v>358</v>
      </c>
      <c r="C395" s="11" t="s">
        <v>215</v>
      </c>
      <c r="D395" s="16" t="s">
        <v>216</v>
      </c>
      <c r="E395" s="11"/>
      <c r="F395" s="11" t="s">
        <v>207</v>
      </c>
      <c r="G395" s="57" t="n">
        <v>7625.63</v>
      </c>
      <c r="H395" s="58" t="n">
        <v>0</v>
      </c>
      <c r="I395" s="57">
        <f>G395*AO395</f>
      </c>
      <c r="J395" s="57">
        <f>G395*AP395</f>
      </c>
      <c r="K395" s="57">
        <f>G395*H395</f>
      </c>
      <c r="L395" s="59" t="s">
        <v>60</v>
      </c>
      <c r="Z395" s="57">
        <f>IF(AQ395="5",BJ395,0)</f>
      </c>
      <c r="AB395" s="57">
        <f>IF(AQ395="1",BH395,0)</f>
      </c>
      <c r="AC395" s="57">
        <f>IF(AQ395="1",BI395,0)</f>
      </c>
      <c r="AD395" s="57">
        <f>IF(AQ395="7",BH395,0)</f>
      </c>
      <c r="AE395" s="57">
        <f>IF(AQ395="7",BI395,0)</f>
      </c>
      <c r="AF395" s="57">
        <f>IF(AQ395="2",BH395,0)</f>
      </c>
      <c r="AG395" s="57">
        <f>IF(AQ395="2",BI395,0)</f>
      </c>
      <c r="AH395" s="57">
        <f>IF(AQ395="0",BJ395,0)</f>
      </c>
      <c r="AI395" s="33" t="s">
        <v>358</v>
      </c>
      <c r="AJ395" s="57">
        <f>IF(AN395=0,K395,0)</f>
      </c>
      <c r="AK395" s="57">
        <f>IF(AN395=12,K395,0)</f>
      </c>
      <c r="AL395" s="57">
        <f>IF(AN395=21,K395,0)</f>
      </c>
      <c r="AN395" s="57" t="n">
        <v>21</v>
      </c>
      <c r="AO395" s="57">
        <f>H395*1</f>
      </c>
      <c r="AP395" s="57">
        <f>H395*(1-1)</f>
      </c>
      <c r="AQ395" s="60" t="s">
        <v>196</v>
      </c>
      <c r="AV395" s="57">
        <f>AW395+AX395</f>
      </c>
      <c r="AW395" s="57">
        <f>G395*AO395</f>
      </c>
      <c r="AX395" s="57">
        <f>G395*AP395</f>
      </c>
      <c r="AY395" s="60" t="s">
        <v>197</v>
      </c>
      <c r="AZ395" s="60" t="s">
        <v>515</v>
      </c>
      <c r="BA395" s="33" t="s">
        <v>364</v>
      </c>
      <c r="BC395" s="57">
        <f>AW395+AX395</f>
      </c>
      <c r="BD395" s="57">
        <f>H395/(100-BE395)*100</f>
      </c>
      <c r="BE395" s="57" t="n">
        <v>0</v>
      </c>
      <c r="BF395" s="57">
        <f>395</f>
      </c>
      <c r="BH395" s="57">
        <f>G395*AO395</f>
      </c>
      <c r="BI395" s="57">
        <f>G395*AP395</f>
      </c>
      <c r="BJ395" s="57">
        <f>G395*H395</f>
      </c>
      <c r="BK395" s="57"/>
      <c r="BL395" s="57"/>
      <c r="BW395" s="57" t="n">
        <v>21</v>
      </c>
      <c r="BX395" s="16" t="s">
        <v>216</v>
      </c>
    </row>
    <row r="396">
      <c r="A396" s="61"/>
      <c r="D396" s="62" t="s">
        <v>550</v>
      </c>
      <c r="E396" s="63" t="s">
        <v>51</v>
      </c>
      <c r="G396" s="64" t="n">
        <v>7262.5</v>
      </c>
      <c r="L396" s="65"/>
    </row>
    <row r="397">
      <c r="A397" s="61"/>
      <c r="D397" s="62" t="s">
        <v>551</v>
      </c>
      <c r="E397" s="63" t="s">
        <v>51</v>
      </c>
      <c r="G397" s="64" t="n">
        <v>363.13</v>
      </c>
      <c r="L397" s="65"/>
    </row>
    <row r="398" customHeight="true" ht="13.5">
      <c r="A398" s="61"/>
      <c r="C398" s="71" t="s">
        <v>87</v>
      </c>
      <c r="D398" s="72" t="s">
        <v>357</v>
      </c>
      <c r="E398" s="73"/>
      <c r="F398" s="73"/>
      <c r="G398" s="73"/>
      <c r="H398" s="74"/>
      <c r="I398" s="73"/>
      <c r="J398" s="73"/>
      <c r="K398" s="73"/>
      <c r="L398" s="75"/>
    </row>
    <row r="399">
      <c r="A399" s="10" t="s">
        <v>552</v>
      </c>
      <c r="B399" s="11" t="s">
        <v>358</v>
      </c>
      <c r="C399" s="11" t="s">
        <v>553</v>
      </c>
      <c r="D399" s="16" t="s">
        <v>554</v>
      </c>
      <c r="E399" s="11"/>
      <c r="F399" s="11" t="s">
        <v>59</v>
      </c>
      <c r="G399" s="57" t="n">
        <v>15.52</v>
      </c>
      <c r="H399" s="58" t="n">
        <v>0</v>
      </c>
      <c r="I399" s="57">
        <f>G399*AO399</f>
      </c>
      <c r="J399" s="57">
        <f>G399*AP399</f>
      </c>
      <c r="K399" s="57">
        <f>G399*H399</f>
      </c>
      <c r="L399" s="59" t="s">
        <v>60</v>
      </c>
      <c r="Z399" s="57">
        <f>IF(AQ399="5",BJ399,0)</f>
      </c>
      <c r="AB399" s="57">
        <f>IF(AQ399="1",BH399,0)</f>
      </c>
      <c r="AC399" s="57">
        <f>IF(AQ399="1",BI399,0)</f>
      </c>
      <c r="AD399" s="57">
        <f>IF(AQ399="7",BH399,0)</f>
      </c>
      <c r="AE399" s="57">
        <f>IF(AQ399="7",BI399,0)</f>
      </c>
      <c r="AF399" s="57">
        <f>IF(AQ399="2",BH399,0)</f>
      </c>
      <c r="AG399" s="57">
        <f>IF(AQ399="2",BI399,0)</f>
      </c>
      <c r="AH399" s="57">
        <f>IF(AQ399="0",BJ399,0)</f>
      </c>
      <c r="AI399" s="33" t="s">
        <v>358</v>
      </c>
      <c r="AJ399" s="57">
        <f>IF(AN399=0,K399,0)</f>
      </c>
      <c r="AK399" s="57">
        <f>IF(AN399=12,K399,0)</f>
      </c>
      <c r="AL399" s="57">
        <f>IF(AN399=21,K399,0)</f>
      </c>
      <c r="AN399" s="57" t="n">
        <v>21</v>
      </c>
      <c r="AO399" s="57">
        <f>H399*1</f>
      </c>
      <c r="AP399" s="57">
        <f>H399*(1-1)</f>
      </c>
      <c r="AQ399" s="60" t="s">
        <v>196</v>
      </c>
      <c r="AV399" s="57">
        <f>AW399+AX399</f>
      </c>
      <c r="AW399" s="57">
        <f>G399*AO399</f>
      </c>
      <c r="AX399" s="57">
        <f>G399*AP399</f>
      </c>
      <c r="AY399" s="60" t="s">
        <v>197</v>
      </c>
      <c r="AZ399" s="60" t="s">
        <v>515</v>
      </c>
      <c r="BA399" s="33" t="s">
        <v>364</v>
      </c>
      <c r="BC399" s="57">
        <f>AW399+AX399</f>
      </c>
      <c r="BD399" s="57">
        <f>H399/(100-BE399)*100</f>
      </c>
      <c r="BE399" s="57" t="n">
        <v>0</v>
      </c>
      <c r="BF399" s="57">
        <f>399</f>
      </c>
      <c r="BH399" s="57">
        <f>G399*AO399</f>
      </c>
      <c r="BI399" s="57">
        <f>G399*AP399</f>
      </c>
      <c r="BJ399" s="57">
        <f>G399*H399</f>
      </c>
      <c r="BK399" s="57"/>
      <c r="BL399" s="57"/>
      <c r="BW399" s="57" t="n">
        <v>21</v>
      </c>
      <c r="BX399" s="16" t="s">
        <v>554</v>
      </c>
    </row>
    <row r="400">
      <c r="A400" s="61"/>
      <c r="D400" s="62" t="s">
        <v>555</v>
      </c>
      <c r="E400" s="63" t="s">
        <v>51</v>
      </c>
      <c r="G400" s="64" t="n">
        <v>13.5</v>
      </c>
      <c r="L400" s="65"/>
    </row>
    <row r="401">
      <c r="A401" s="61"/>
      <c r="D401" s="62" t="s">
        <v>556</v>
      </c>
      <c r="E401" s="63" t="s">
        <v>51</v>
      </c>
      <c r="G401" s="64" t="n">
        <v>2.02</v>
      </c>
      <c r="L401" s="65"/>
    </row>
    <row r="402">
      <c r="A402" s="51" t="s">
        <v>51</v>
      </c>
      <c r="B402" s="52" t="s">
        <v>557</v>
      </c>
      <c r="C402" s="52" t="s">
        <v>51</v>
      </c>
      <c r="D402" s="53" t="s">
        <v>558</v>
      </c>
      <c r="E402" s="52"/>
      <c r="F402" s="54" t="s">
        <v>4</v>
      </c>
      <c r="G402" s="54" t="s">
        <v>4</v>
      </c>
      <c r="H402" s="55" t="s">
        <v>4</v>
      </c>
      <c r="I402" s="2">
        <f>I403</f>
      </c>
      <c r="J402" s="2">
        <f>J403</f>
      </c>
      <c r="K402" s="2">
        <f>K403</f>
      </c>
      <c r="L402" s="56" t="s">
        <v>51</v>
      </c>
    </row>
    <row r="403">
      <c r="A403" s="51" t="s">
        <v>51</v>
      </c>
      <c r="B403" s="52" t="s">
        <v>557</v>
      </c>
      <c r="C403" s="52" t="s">
        <v>559</v>
      </c>
      <c r="D403" s="53" t="s">
        <v>560</v>
      </c>
      <c r="E403" s="52"/>
      <c r="F403" s="54" t="s">
        <v>4</v>
      </c>
      <c r="G403" s="54" t="s">
        <v>4</v>
      </c>
      <c r="H403" s="55" t="s">
        <v>4</v>
      </c>
      <c r="I403" s="2">
        <f>SUM(I404:I428)</f>
      </c>
      <c r="J403" s="2">
        <f>SUM(J404:J428)</f>
      </c>
      <c r="K403" s="2">
        <f>SUM(K404:K428)</f>
      </c>
      <c r="L403" s="56" t="s">
        <v>51</v>
      </c>
      <c r="AI403" s="33" t="s">
        <v>557</v>
      </c>
      <c r="AS403" s="2">
        <f>SUM(AJ404:AJ428)</f>
      </c>
      <c r="AT403" s="2">
        <f>SUM(AK404:AK428)</f>
      </c>
      <c r="AU403" s="2">
        <f>SUM(AL404:AL428)</f>
      </c>
    </row>
    <row r="404">
      <c r="A404" s="10" t="s">
        <v>561</v>
      </c>
      <c r="B404" s="11" t="s">
        <v>557</v>
      </c>
      <c r="C404" s="11" t="s">
        <v>562</v>
      </c>
      <c r="D404" s="16" t="s">
        <v>563</v>
      </c>
      <c r="E404" s="11"/>
      <c r="F404" s="11" t="s">
        <v>564</v>
      </c>
      <c r="G404" s="57" t="n">
        <v>1</v>
      </c>
      <c r="H404" s="58" t="n">
        <v>0</v>
      </c>
      <c r="I404" s="57">
        <f>G404*AO404</f>
      </c>
      <c r="J404" s="57">
        <f>G404*AP404</f>
      </c>
      <c r="K404" s="57">
        <f>G404*H404</f>
      </c>
      <c r="L404" s="59" t="s">
        <v>565</v>
      </c>
      <c r="Z404" s="57">
        <f>IF(AQ404="5",BJ404,0)</f>
      </c>
      <c r="AB404" s="57">
        <f>IF(AQ404="1",BH404,0)</f>
      </c>
      <c r="AC404" s="57">
        <f>IF(AQ404="1",BI404,0)</f>
      </c>
      <c r="AD404" s="57">
        <f>IF(AQ404="7",BH404,0)</f>
      </c>
      <c r="AE404" s="57">
        <f>IF(AQ404="7",BI404,0)</f>
      </c>
      <c r="AF404" s="57">
        <f>IF(AQ404="2",BH404,0)</f>
      </c>
      <c r="AG404" s="57">
        <f>IF(AQ404="2",BI404,0)</f>
      </c>
      <c r="AH404" s="57">
        <f>IF(AQ404="0",BJ404,0)</f>
      </c>
      <c r="AI404" s="33" t="s">
        <v>557</v>
      </c>
      <c r="AJ404" s="57">
        <f>IF(AN404=0,K404,0)</f>
      </c>
      <c r="AK404" s="57">
        <f>IF(AN404=12,K404,0)</f>
      </c>
      <c r="AL404" s="57">
        <f>IF(AN404=21,K404,0)</f>
      </c>
      <c r="AN404" s="57" t="n">
        <v>21</v>
      </c>
      <c r="AO404" s="57">
        <f>H404*0</f>
      </c>
      <c r="AP404" s="57">
        <f>H404*(1-0)</f>
      </c>
      <c r="AQ404" s="60" t="s">
        <v>56</v>
      </c>
      <c r="AV404" s="57">
        <f>AW404+AX404</f>
      </c>
      <c r="AW404" s="57">
        <f>G404*AO404</f>
      </c>
      <c r="AX404" s="57">
        <f>G404*AP404</f>
      </c>
      <c r="AY404" s="60" t="s">
        <v>566</v>
      </c>
      <c r="AZ404" s="60" t="s">
        <v>567</v>
      </c>
      <c r="BA404" s="33" t="s">
        <v>568</v>
      </c>
      <c r="BC404" s="57">
        <f>AW404+AX404</f>
      </c>
      <c r="BD404" s="57">
        <f>H404/(100-BE404)*100</f>
      </c>
      <c r="BE404" s="57" t="n">
        <v>0</v>
      </c>
      <c r="BF404" s="57">
        <f>404</f>
      </c>
      <c r="BH404" s="57">
        <f>G404*AO404</f>
      </c>
      <c r="BI404" s="57">
        <f>G404*AP404</f>
      </c>
      <c r="BJ404" s="57">
        <f>G404*H404</f>
      </c>
      <c r="BK404" s="57"/>
      <c r="BL404" s="57"/>
      <c r="BW404" s="57" t="n">
        <v>21</v>
      </c>
      <c r="BX404" s="16" t="s">
        <v>563</v>
      </c>
    </row>
    <row r="405" customHeight="true" ht="13.5">
      <c r="A405" s="61"/>
      <c r="C405" s="71" t="s">
        <v>87</v>
      </c>
      <c r="D405" s="72" t="s">
        <v>569</v>
      </c>
      <c r="E405" s="73"/>
      <c r="F405" s="73"/>
      <c r="G405" s="73"/>
      <c r="H405" s="74"/>
      <c r="I405" s="73"/>
      <c r="J405" s="73"/>
      <c r="K405" s="73"/>
      <c r="L405" s="75"/>
    </row>
    <row r="406">
      <c r="A406" s="10" t="s">
        <v>570</v>
      </c>
      <c r="B406" s="11" t="s">
        <v>557</v>
      </c>
      <c r="C406" s="11" t="s">
        <v>562</v>
      </c>
      <c r="D406" s="16" t="s">
        <v>571</v>
      </c>
      <c r="E406" s="11"/>
      <c r="F406" s="11" t="s">
        <v>564</v>
      </c>
      <c r="G406" s="57" t="n">
        <v>1</v>
      </c>
      <c r="H406" s="58" t="n">
        <v>0</v>
      </c>
      <c r="I406" s="57">
        <f>G406*AO406</f>
      </c>
      <c r="J406" s="57">
        <f>G406*AP406</f>
      </c>
      <c r="K406" s="57">
        <f>G406*H406</f>
      </c>
      <c r="L406" s="59" t="s">
        <v>60</v>
      </c>
      <c r="Z406" s="57">
        <f>IF(AQ406="5",BJ406,0)</f>
      </c>
      <c r="AB406" s="57">
        <f>IF(AQ406="1",BH406,0)</f>
      </c>
      <c r="AC406" s="57">
        <f>IF(AQ406="1",BI406,0)</f>
      </c>
      <c r="AD406" s="57">
        <f>IF(AQ406="7",BH406,0)</f>
      </c>
      <c r="AE406" s="57">
        <f>IF(AQ406="7",BI406,0)</f>
      </c>
      <c r="AF406" s="57">
        <f>IF(AQ406="2",BH406,0)</f>
      </c>
      <c r="AG406" s="57">
        <f>IF(AQ406="2",BI406,0)</f>
      </c>
      <c r="AH406" s="57">
        <f>IF(AQ406="0",BJ406,0)</f>
      </c>
      <c r="AI406" s="33" t="s">
        <v>557</v>
      </c>
      <c r="AJ406" s="57">
        <f>IF(AN406=0,K406,0)</f>
      </c>
      <c r="AK406" s="57">
        <f>IF(AN406=12,K406,0)</f>
      </c>
      <c r="AL406" s="57">
        <f>IF(AN406=21,K406,0)</f>
      </c>
      <c r="AN406" s="57" t="n">
        <v>21</v>
      </c>
      <c r="AO406" s="57">
        <f>H406*0</f>
      </c>
      <c r="AP406" s="57">
        <f>H406*(1-0)</f>
      </c>
      <c r="AQ406" s="60" t="s">
        <v>56</v>
      </c>
      <c r="AV406" s="57">
        <f>AW406+AX406</f>
      </c>
      <c r="AW406" s="57">
        <f>G406*AO406</f>
      </c>
      <c r="AX406" s="57">
        <f>G406*AP406</f>
      </c>
      <c r="AY406" s="60" t="s">
        <v>566</v>
      </c>
      <c r="AZ406" s="60" t="s">
        <v>567</v>
      </c>
      <c r="BA406" s="33" t="s">
        <v>568</v>
      </c>
      <c r="BC406" s="57">
        <f>AW406+AX406</f>
      </c>
      <c r="BD406" s="57">
        <f>H406/(100-BE406)*100</f>
      </c>
      <c r="BE406" s="57" t="n">
        <v>0</v>
      </c>
      <c r="BF406" s="57">
        <f>406</f>
      </c>
      <c r="BH406" s="57">
        <f>G406*AO406</f>
      </c>
      <c r="BI406" s="57">
        <f>G406*AP406</f>
      </c>
      <c r="BJ406" s="57">
        <f>G406*H406</f>
      </c>
      <c r="BK406" s="57"/>
      <c r="BL406" s="57"/>
      <c r="BW406" s="57" t="n">
        <v>21</v>
      </c>
      <c r="BX406" s="16" t="s">
        <v>571</v>
      </c>
    </row>
    <row r="407" customHeight="true" ht="67.5">
      <c r="A407" s="61"/>
      <c r="C407" s="71" t="s">
        <v>87</v>
      </c>
      <c r="D407" s="72" t="s">
        <v>572</v>
      </c>
      <c r="E407" s="73"/>
      <c r="F407" s="73"/>
      <c r="G407" s="73"/>
      <c r="H407" s="74"/>
      <c r="I407" s="73"/>
      <c r="J407" s="73"/>
      <c r="K407" s="73"/>
      <c r="L407" s="75"/>
    </row>
    <row r="408">
      <c r="A408" s="10" t="s">
        <v>573</v>
      </c>
      <c r="B408" s="11" t="s">
        <v>557</v>
      </c>
      <c r="C408" s="11" t="s">
        <v>562</v>
      </c>
      <c r="D408" s="16" t="s">
        <v>574</v>
      </c>
      <c r="E408" s="11"/>
      <c r="F408" s="11" t="s">
        <v>564</v>
      </c>
      <c r="G408" s="57" t="n">
        <v>1</v>
      </c>
      <c r="H408" s="58" t="n">
        <v>0</v>
      </c>
      <c r="I408" s="57">
        <f>G408*AO408</f>
      </c>
      <c r="J408" s="57">
        <f>G408*AP408</f>
      </c>
      <c r="K408" s="57">
        <f>G408*H408</f>
      </c>
      <c r="L408" s="59" t="s">
        <v>60</v>
      </c>
      <c r="Z408" s="57">
        <f>IF(AQ408="5",BJ408,0)</f>
      </c>
      <c r="AB408" s="57">
        <f>IF(AQ408="1",BH408,0)</f>
      </c>
      <c r="AC408" s="57">
        <f>IF(AQ408="1",BI408,0)</f>
      </c>
      <c r="AD408" s="57">
        <f>IF(AQ408="7",BH408,0)</f>
      </c>
      <c r="AE408" s="57">
        <f>IF(AQ408="7",BI408,0)</f>
      </c>
      <c r="AF408" s="57">
        <f>IF(AQ408="2",BH408,0)</f>
      </c>
      <c r="AG408" s="57">
        <f>IF(AQ408="2",BI408,0)</f>
      </c>
      <c r="AH408" s="57">
        <f>IF(AQ408="0",BJ408,0)</f>
      </c>
      <c r="AI408" s="33" t="s">
        <v>557</v>
      </c>
      <c r="AJ408" s="57">
        <f>IF(AN408=0,K408,0)</f>
      </c>
      <c r="AK408" s="57">
        <f>IF(AN408=12,K408,0)</f>
      </c>
      <c r="AL408" s="57">
        <f>IF(AN408=21,K408,0)</f>
      </c>
      <c r="AN408" s="57" t="n">
        <v>21</v>
      </c>
      <c r="AO408" s="57">
        <f>H408*0</f>
      </c>
      <c r="AP408" s="57">
        <f>H408*(1-0)</f>
      </c>
      <c r="AQ408" s="60" t="s">
        <v>56</v>
      </c>
      <c r="AV408" s="57">
        <f>AW408+AX408</f>
      </c>
      <c r="AW408" s="57">
        <f>G408*AO408</f>
      </c>
      <c r="AX408" s="57">
        <f>G408*AP408</f>
      </c>
      <c r="AY408" s="60" t="s">
        <v>566</v>
      </c>
      <c r="AZ408" s="60" t="s">
        <v>567</v>
      </c>
      <c r="BA408" s="33" t="s">
        <v>568</v>
      </c>
      <c r="BC408" s="57">
        <f>AW408+AX408</f>
      </c>
      <c r="BD408" s="57">
        <f>H408/(100-BE408)*100</f>
      </c>
      <c r="BE408" s="57" t="n">
        <v>0</v>
      </c>
      <c r="BF408" s="57">
        <f>408</f>
      </c>
      <c r="BH408" s="57">
        <f>G408*AO408</f>
      </c>
      <c r="BI408" s="57">
        <f>G408*AP408</f>
      </c>
      <c r="BJ408" s="57">
        <f>G408*H408</f>
      </c>
      <c r="BK408" s="57"/>
      <c r="BL408" s="57"/>
      <c r="BW408" s="57" t="n">
        <v>21</v>
      </c>
      <c r="BX408" s="16" t="s">
        <v>574</v>
      </c>
    </row>
    <row r="409" customHeight="true" ht="13.5">
      <c r="A409" s="61"/>
      <c r="C409" s="71" t="s">
        <v>87</v>
      </c>
      <c r="D409" s="72" t="s">
        <v>575</v>
      </c>
      <c r="E409" s="73"/>
      <c r="F409" s="73"/>
      <c r="G409" s="73"/>
      <c r="H409" s="74"/>
      <c r="I409" s="73"/>
      <c r="J409" s="73"/>
      <c r="K409" s="73"/>
      <c r="L409" s="75"/>
    </row>
    <row r="410">
      <c r="A410" s="10" t="s">
        <v>576</v>
      </c>
      <c r="B410" s="11" t="s">
        <v>557</v>
      </c>
      <c r="C410" s="11" t="s">
        <v>562</v>
      </c>
      <c r="D410" s="16" t="s">
        <v>577</v>
      </c>
      <c r="E410" s="11"/>
      <c r="F410" s="11" t="s">
        <v>564</v>
      </c>
      <c r="G410" s="57" t="n">
        <v>1</v>
      </c>
      <c r="H410" s="58" t="n">
        <v>0</v>
      </c>
      <c r="I410" s="57">
        <f>G410*AO410</f>
      </c>
      <c r="J410" s="57">
        <f>G410*AP410</f>
      </c>
      <c r="K410" s="57">
        <f>G410*H410</f>
      </c>
      <c r="L410" s="59" t="s">
        <v>60</v>
      </c>
      <c r="Z410" s="57">
        <f>IF(AQ410="5",BJ410,0)</f>
      </c>
      <c r="AB410" s="57">
        <f>IF(AQ410="1",BH410,0)</f>
      </c>
      <c r="AC410" s="57">
        <f>IF(AQ410="1",BI410,0)</f>
      </c>
      <c r="AD410" s="57">
        <f>IF(AQ410="7",BH410,0)</f>
      </c>
      <c r="AE410" s="57">
        <f>IF(AQ410="7",BI410,0)</f>
      </c>
      <c r="AF410" s="57">
        <f>IF(AQ410="2",BH410,0)</f>
      </c>
      <c r="AG410" s="57">
        <f>IF(AQ410="2",BI410,0)</f>
      </c>
      <c r="AH410" s="57">
        <f>IF(AQ410="0",BJ410,0)</f>
      </c>
      <c r="AI410" s="33" t="s">
        <v>557</v>
      </c>
      <c r="AJ410" s="57">
        <f>IF(AN410=0,K410,0)</f>
      </c>
      <c r="AK410" s="57">
        <f>IF(AN410=12,K410,0)</f>
      </c>
      <c r="AL410" s="57">
        <f>IF(AN410=21,K410,0)</f>
      </c>
      <c r="AN410" s="57" t="n">
        <v>21</v>
      </c>
      <c r="AO410" s="57">
        <f>H410*0</f>
      </c>
      <c r="AP410" s="57">
        <f>H410*(1-0)</f>
      </c>
      <c r="AQ410" s="60" t="s">
        <v>56</v>
      </c>
      <c r="AV410" s="57">
        <f>AW410+AX410</f>
      </c>
      <c r="AW410" s="57">
        <f>G410*AO410</f>
      </c>
      <c r="AX410" s="57">
        <f>G410*AP410</f>
      </c>
      <c r="AY410" s="60" t="s">
        <v>566</v>
      </c>
      <c r="AZ410" s="60" t="s">
        <v>567</v>
      </c>
      <c r="BA410" s="33" t="s">
        <v>568</v>
      </c>
      <c r="BC410" s="57">
        <f>AW410+AX410</f>
      </c>
      <c r="BD410" s="57">
        <f>H410/(100-BE410)*100</f>
      </c>
      <c r="BE410" s="57" t="n">
        <v>0</v>
      </c>
      <c r="BF410" s="57">
        <f>410</f>
      </c>
      <c r="BH410" s="57">
        <f>G410*AO410</f>
      </c>
      <c r="BI410" s="57">
        <f>G410*AP410</f>
      </c>
      <c r="BJ410" s="57">
        <f>G410*H410</f>
      </c>
      <c r="BK410" s="57"/>
      <c r="BL410" s="57"/>
      <c r="BW410" s="57" t="n">
        <v>21</v>
      </c>
      <c r="BX410" s="16" t="s">
        <v>577</v>
      </c>
    </row>
    <row r="411" customHeight="true" ht="40.5">
      <c r="A411" s="61"/>
      <c r="C411" s="71" t="s">
        <v>87</v>
      </c>
      <c r="D411" s="72" t="s">
        <v>578</v>
      </c>
      <c r="E411" s="73"/>
      <c r="F411" s="73"/>
      <c r="G411" s="73"/>
      <c r="H411" s="74"/>
      <c r="I411" s="73"/>
      <c r="J411" s="73"/>
      <c r="K411" s="73"/>
      <c r="L411" s="75"/>
    </row>
    <row r="412">
      <c r="A412" s="10" t="s">
        <v>579</v>
      </c>
      <c r="B412" s="11" t="s">
        <v>557</v>
      </c>
      <c r="C412" s="11" t="s">
        <v>562</v>
      </c>
      <c r="D412" s="16" t="s">
        <v>580</v>
      </c>
      <c r="E412" s="11"/>
      <c r="F412" s="11" t="s">
        <v>564</v>
      </c>
      <c r="G412" s="57" t="n">
        <v>1</v>
      </c>
      <c r="H412" s="58" t="n">
        <v>0</v>
      </c>
      <c r="I412" s="57">
        <f>G412*AO412</f>
      </c>
      <c r="J412" s="57">
        <f>G412*AP412</f>
      </c>
      <c r="K412" s="57">
        <f>G412*H412</f>
      </c>
      <c r="L412" s="59" t="s">
        <v>60</v>
      </c>
      <c r="Z412" s="57">
        <f>IF(AQ412="5",BJ412,0)</f>
      </c>
      <c r="AB412" s="57">
        <f>IF(AQ412="1",BH412,0)</f>
      </c>
      <c r="AC412" s="57">
        <f>IF(AQ412="1",BI412,0)</f>
      </c>
      <c r="AD412" s="57">
        <f>IF(AQ412="7",BH412,0)</f>
      </c>
      <c r="AE412" s="57">
        <f>IF(AQ412="7",BI412,0)</f>
      </c>
      <c r="AF412" s="57">
        <f>IF(AQ412="2",BH412,0)</f>
      </c>
      <c r="AG412" s="57">
        <f>IF(AQ412="2",BI412,0)</f>
      </c>
      <c r="AH412" s="57">
        <f>IF(AQ412="0",BJ412,0)</f>
      </c>
      <c r="AI412" s="33" t="s">
        <v>557</v>
      </c>
      <c r="AJ412" s="57">
        <f>IF(AN412=0,K412,0)</f>
      </c>
      <c r="AK412" s="57">
        <f>IF(AN412=12,K412,0)</f>
      </c>
      <c r="AL412" s="57">
        <f>IF(AN412=21,K412,0)</f>
      </c>
      <c r="AN412" s="57" t="n">
        <v>21</v>
      </c>
      <c r="AO412" s="57">
        <f>H412*0</f>
      </c>
      <c r="AP412" s="57">
        <f>H412*(1-0)</f>
      </c>
      <c r="AQ412" s="60" t="s">
        <v>56</v>
      </c>
      <c r="AV412" s="57">
        <f>AW412+AX412</f>
      </c>
      <c r="AW412" s="57">
        <f>G412*AO412</f>
      </c>
      <c r="AX412" s="57">
        <f>G412*AP412</f>
      </c>
      <c r="AY412" s="60" t="s">
        <v>566</v>
      </c>
      <c r="AZ412" s="60" t="s">
        <v>567</v>
      </c>
      <c r="BA412" s="33" t="s">
        <v>568</v>
      </c>
      <c r="BC412" s="57">
        <f>AW412+AX412</f>
      </c>
      <c r="BD412" s="57">
        <f>H412/(100-BE412)*100</f>
      </c>
      <c r="BE412" s="57" t="n">
        <v>0</v>
      </c>
      <c r="BF412" s="57">
        <f>412</f>
      </c>
      <c r="BH412" s="57">
        <f>G412*AO412</f>
      </c>
      <c r="BI412" s="57">
        <f>G412*AP412</f>
      </c>
      <c r="BJ412" s="57">
        <f>G412*H412</f>
      </c>
      <c r="BK412" s="57"/>
      <c r="BL412" s="57"/>
      <c r="BW412" s="57" t="n">
        <v>21</v>
      </c>
      <c r="BX412" s="16" t="s">
        <v>580</v>
      </c>
    </row>
    <row r="413" customHeight="true" ht="27">
      <c r="A413" s="61"/>
      <c r="C413" s="71" t="s">
        <v>87</v>
      </c>
      <c r="D413" s="72" t="s">
        <v>581</v>
      </c>
      <c r="E413" s="73"/>
      <c r="F413" s="73"/>
      <c r="G413" s="73"/>
      <c r="H413" s="74"/>
      <c r="I413" s="73"/>
      <c r="J413" s="73"/>
      <c r="K413" s="73"/>
      <c r="L413" s="75"/>
    </row>
    <row r="414">
      <c r="A414" s="10" t="s">
        <v>582</v>
      </c>
      <c r="B414" s="11" t="s">
        <v>557</v>
      </c>
      <c r="C414" s="11" t="s">
        <v>562</v>
      </c>
      <c r="D414" s="16" t="s">
        <v>583</v>
      </c>
      <c r="E414" s="11"/>
      <c r="F414" s="11" t="s">
        <v>564</v>
      </c>
      <c r="G414" s="57" t="n">
        <v>1</v>
      </c>
      <c r="H414" s="58" t="n">
        <v>0</v>
      </c>
      <c r="I414" s="57">
        <f>G414*AO414</f>
      </c>
      <c r="J414" s="57">
        <f>G414*AP414</f>
      </c>
      <c r="K414" s="57">
        <f>G414*H414</f>
      </c>
      <c r="L414" s="59" t="s">
        <v>60</v>
      </c>
      <c r="Z414" s="57">
        <f>IF(AQ414="5",BJ414,0)</f>
      </c>
      <c r="AB414" s="57">
        <f>IF(AQ414="1",BH414,0)</f>
      </c>
      <c r="AC414" s="57">
        <f>IF(AQ414="1",BI414,0)</f>
      </c>
      <c r="AD414" s="57">
        <f>IF(AQ414="7",BH414,0)</f>
      </c>
      <c r="AE414" s="57">
        <f>IF(AQ414="7",BI414,0)</f>
      </c>
      <c r="AF414" s="57">
        <f>IF(AQ414="2",BH414,0)</f>
      </c>
      <c r="AG414" s="57">
        <f>IF(AQ414="2",BI414,0)</f>
      </c>
      <c r="AH414" s="57">
        <f>IF(AQ414="0",BJ414,0)</f>
      </c>
      <c r="AI414" s="33" t="s">
        <v>557</v>
      </c>
      <c r="AJ414" s="57">
        <f>IF(AN414=0,K414,0)</f>
      </c>
      <c r="AK414" s="57">
        <f>IF(AN414=12,K414,0)</f>
      </c>
      <c r="AL414" s="57">
        <f>IF(AN414=21,K414,0)</f>
      </c>
      <c r="AN414" s="57" t="n">
        <v>21</v>
      </c>
      <c r="AO414" s="57">
        <f>H414*0</f>
      </c>
      <c r="AP414" s="57">
        <f>H414*(1-0)</f>
      </c>
      <c r="AQ414" s="60" t="s">
        <v>56</v>
      </c>
      <c r="AV414" s="57">
        <f>AW414+AX414</f>
      </c>
      <c r="AW414" s="57">
        <f>G414*AO414</f>
      </c>
      <c r="AX414" s="57">
        <f>G414*AP414</f>
      </c>
      <c r="AY414" s="60" t="s">
        <v>566</v>
      </c>
      <c r="AZ414" s="60" t="s">
        <v>567</v>
      </c>
      <c r="BA414" s="33" t="s">
        <v>568</v>
      </c>
      <c r="BC414" s="57">
        <f>AW414+AX414</f>
      </c>
      <c r="BD414" s="57">
        <f>H414/(100-BE414)*100</f>
      </c>
      <c r="BE414" s="57" t="n">
        <v>0</v>
      </c>
      <c r="BF414" s="57">
        <f>414</f>
      </c>
      <c r="BH414" s="57">
        <f>G414*AO414</f>
      </c>
      <c r="BI414" s="57">
        <f>G414*AP414</f>
      </c>
      <c r="BJ414" s="57">
        <f>G414*H414</f>
      </c>
      <c r="BK414" s="57"/>
      <c r="BL414" s="57"/>
      <c r="BW414" s="57" t="n">
        <v>21</v>
      </c>
      <c r="BX414" s="16" t="s">
        <v>583</v>
      </c>
    </row>
    <row r="415" customHeight="true" ht="40.5">
      <c r="A415" s="61"/>
      <c r="C415" s="71" t="s">
        <v>87</v>
      </c>
      <c r="D415" s="72" t="s">
        <v>584</v>
      </c>
      <c r="E415" s="73"/>
      <c r="F415" s="73"/>
      <c r="G415" s="73"/>
      <c r="H415" s="74"/>
      <c r="I415" s="73"/>
      <c r="J415" s="73"/>
      <c r="K415" s="73"/>
      <c r="L415" s="75"/>
    </row>
    <row r="416">
      <c r="A416" s="10" t="s">
        <v>585</v>
      </c>
      <c r="B416" s="11" t="s">
        <v>557</v>
      </c>
      <c r="C416" s="11" t="s">
        <v>562</v>
      </c>
      <c r="D416" s="16" t="s">
        <v>586</v>
      </c>
      <c r="E416" s="11"/>
      <c r="F416" s="11" t="s">
        <v>564</v>
      </c>
      <c r="G416" s="57" t="n">
        <v>1</v>
      </c>
      <c r="H416" s="58" t="n">
        <v>0</v>
      </c>
      <c r="I416" s="57">
        <f>G416*AO416</f>
      </c>
      <c r="J416" s="57">
        <f>G416*AP416</f>
      </c>
      <c r="K416" s="57">
        <f>G416*H416</f>
      </c>
      <c r="L416" s="59" t="s">
        <v>60</v>
      </c>
      <c r="Z416" s="57">
        <f>IF(AQ416="5",BJ416,0)</f>
      </c>
      <c r="AB416" s="57">
        <f>IF(AQ416="1",BH416,0)</f>
      </c>
      <c r="AC416" s="57">
        <f>IF(AQ416="1",BI416,0)</f>
      </c>
      <c r="AD416" s="57">
        <f>IF(AQ416="7",BH416,0)</f>
      </c>
      <c r="AE416" s="57">
        <f>IF(AQ416="7",BI416,0)</f>
      </c>
      <c r="AF416" s="57">
        <f>IF(AQ416="2",BH416,0)</f>
      </c>
      <c r="AG416" s="57">
        <f>IF(AQ416="2",BI416,0)</f>
      </c>
      <c r="AH416" s="57">
        <f>IF(AQ416="0",BJ416,0)</f>
      </c>
      <c r="AI416" s="33" t="s">
        <v>557</v>
      </c>
      <c r="AJ416" s="57">
        <f>IF(AN416=0,K416,0)</f>
      </c>
      <c r="AK416" s="57">
        <f>IF(AN416=12,K416,0)</f>
      </c>
      <c r="AL416" s="57">
        <f>IF(AN416=21,K416,0)</f>
      </c>
      <c r="AN416" s="57" t="n">
        <v>21</v>
      </c>
      <c r="AO416" s="57">
        <f>H416*0</f>
      </c>
      <c r="AP416" s="57">
        <f>H416*(1-0)</f>
      </c>
      <c r="AQ416" s="60" t="s">
        <v>56</v>
      </c>
      <c r="AV416" s="57">
        <f>AW416+AX416</f>
      </c>
      <c r="AW416" s="57">
        <f>G416*AO416</f>
      </c>
      <c r="AX416" s="57">
        <f>G416*AP416</f>
      </c>
      <c r="AY416" s="60" t="s">
        <v>566</v>
      </c>
      <c r="AZ416" s="60" t="s">
        <v>567</v>
      </c>
      <c r="BA416" s="33" t="s">
        <v>568</v>
      </c>
      <c r="BC416" s="57">
        <f>AW416+AX416</f>
      </c>
      <c r="BD416" s="57">
        <f>H416/(100-BE416)*100</f>
      </c>
      <c r="BE416" s="57" t="n">
        <v>0</v>
      </c>
      <c r="BF416" s="57">
        <f>416</f>
      </c>
      <c r="BH416" s="57">
        <f>G416*AO416</f>
      </c>
      <c r="BI416" s="57">
        <f>G416*AP416</f>
      </c>
      <c r="BJ416" s="57">
        <f>G416*H416</f>
      </c>
      <c r="BK416" s="57"/>
      <c r="BL416" s="57"/>
      <c r="BW416" s="57" t="n">
        <v>21</v>
      </c>
      <c r="BX416" s="16" t="s">
        <v>586</v>
      </c>
    </row>
    <row r="417" customHeight="true" ht="27">
      <c r="A417" s="61"/>
      <c r="C417" s="71" t="s">
        <v>87</v>
      </c>
      <c r="D417" s="72" t="s">
        <v>587</v>
      </c>
      <c r="E417" s="73"/>
      <c r="F417" s="73"/>
      <c r="G417" s="73"/>
      <c r="H417" s="74"/>
      <c r="I417" s="73"/>
      <c r="J417" s="73"/>
      <c r="K417" s="73"/>
      <c r="L417" s="75"/>
    </row>
    <row r="418">
      <c r="A418" s="10" t="s">
        <v>588</v>
      </c>
      <c r="B418" s="11" t="s">
        <v>557</v>
      </c>
      <c r="C418" s="11" t="s">
        <v>562</v>
      </c>
      <c r="D418" s="16" t="s">
        <v>589</v>
      </c>
      <c r="E418" s="11"/>
      <c r="F418" s="11" t="s">
        <v>564</v>
      </c>
      <c r="G418" s="57" t="n">
        <v>1</v>
      </c>
      <c r="H418" s="58" t="n">
        <v>0</v>
      </c>
      <c r="I418" s="57">
        <f>G418*AO418</f>
      </c>
      <c r="J418" s="57">
        <f>G418*AP418</f>
      </c>
      <c r="K418" s="57">
        <f>G418*H418</f>
      </c>
      <c r="L418" s="59" t="s">
        <v>60</v>
      </c>
      <c r="Z418" s="57">
        <f>IF(AQ418="5",BJ418,0)</f>
      </c>
      <c r="AB418" s="57">
        <f>IF(AQ418="1",BH418,0)</f>
      </c>
      <c r="AC418" s="57">
        <f>IF(AQ418="1",BI418,0)</f>
      </c>
      <c r="AD418" s="57">
        <f>IF(AQ418="7",BH418,0)</f>
      </c>
      <c r="AE418" s="57">
        <f>IF(AQ418="7",BI418,0)</f>
      </c>
      <c r="AF418" s="57">
        <f>IF(AQ418="2",BH418,0)</f>
      </c>
      <c r="AG418" s="57">
        <f>IF(AQ418="2",BI418,0)</f>
      </c>
      <c r="AH418" s="57">
        <f>IF(AQ418="0",BJ418,0)</f>
      </c>
      <c r="AI418" s="33" t="s">
        <v>557</v>
      </c>
      <c r="AJ418" s="57">
        <f>IF(AN418=0,K418,0)</f>
      </c>
      <c r="AK418" s="57">
        <f>IF(AN418=12,K418,0)</f>
      </c>
      <c r="AL418" s="57">
        <f>IF(AN418=21,K418,0)</f>
      </c>
      <c r="AN418" s="57" t="n">
        <v>21</v>
      </c>
      <c r="AO418" s="57">
        <f>H418*0</f>
      </c>
      <c r="AP418" s="57">
        <f>H418*(1-0)</f>
      </c>
      <c r="AQ418" s="60" t="s">
        <v>56</v>
      </c>
      <c r="AV418" s="57">
        <f>AW418+AX418</f>
      </c>
      <c r="AW418" s="57">
        <f>G418*AO418</f>
      </c>
      <c r="AX418" s="57">
        <f>G418*AP418</f>
      </c>
      <c r="AY418" s="60" t="s">
        <v>566</v>
      </c>
      <c r="AZ418" s="60" t="s">
        <v>567</v>
      </c>
      <c r="BA418" s="33" t="s">
        <v>568</v>
      </c>
      <c r="BC418" s="57">
        <f>AW418+AX418</f>
      </c>
      <c r="BD418" s="57">
        <f>H418/(100-BE418)*100</f>
      </c>
      <c r="BE418" s="57" t="n">
        <v>0</v>
      </c>
      <c r="BF418" s="57">
        <f>418</f>
      </c>
      <c r="BH418" s="57">
        <f>G418*AO418</f>
      </c>
      <c r="BI418" s="57">
        <f>G418*AP418</f>
      </c>
      <c r="BJ418" s="57">
        <f>G418*H418</f>
      </c>
      <c r="BK418" s="57"/>
      <c r="BL418" s="57"/>
      <c r="BW418" s="57" t="n">
        <v>21</v>
      </c>
      <c r="BX418" s="16" t="s">
        <v>589</v>
      </c>
    </row>
    <row r="419" customHeight="true" ht="13.5">
      <c r="A419" s="61"/>
      <c r="C419" s="71" t="s">
        <v>87</v>
      </c>
      <c r="D419" s="72" t="s">
        <v>590</v>
      </c>
      <c r="E419" s="73"/>
      <c r="F419" s="73"/>
      <c r="G419" s="73"/>
      <c r="H419" s="74"/>
      <c r="I419" s="73"/>
      <c r="J419" s="73"/>
      <c r="K419" s="73"/>
      <c r="L419" s="75"/>
    </row>
    <row r="420">
      <c r="A420" s="10" t="s">
        <v>591</v>
      </c>
      <c r="B420" s="11" t="s">
        <v>557</v>
      </c>
      <c r="C420" s="11" t="s">
        <v>562</v>
      </c>
      <c r="D420" s="16" t="s">
        <v>592</v>
      </c>
      <c r="E420" s="11"/>
      <c r="F420" s="11" t="s">
        <v>564</v>
      </c>
      <c r="G420" s="57" t="n">
        <v>1</v>
      </c>
      <c r="H420" s="58" t="n">
        <v>0</v>
      </c>
      <c r="I420" s="57">
        <f>G420*AO420</f>
      </c>
      <c r="J420" s="57">
        <f>G420*AP420</f>
      </c>
      <c r="K420" s="57">
        <f>G420*H420</f>
      </c>
      <c r="L420" s="59" t="s">
        <v>60</v>
      </c>
      <c r="Z420" s="57">
        <f>IF(AQ420="5",BJ420,0)</f>
      </c>
      <c r="AB420" s="57">
        <f>IF(AQ420="1",BH420,0)</f>
      </c>
      <c r="AC420" s="57">
        <f>IF(AQ420="1",BI420,0)</f>
      </c>
      <c r="AD420" s="57">
        <f>IF(AQ420="7",BH420,0)</f>
      </c>
      <c r="AE420" s="57">
        <f>IF(AQ420="7",BI420,0)</f>
      </c>
      <c r="AF420" s="57">
        <f>IF(AQ420="2",BH420,0)</f>
      </c>
      <c r="AG420" s="57">
        <f>IF(AQ420="2",BI420,0)</f>
      </c>
      <c r="AH420" s="57">
        <f>IF(AQ420="0",BJ420,0)</f>
      </c>
      <c r="AI420" s="33" t="s">
        <v>557</v>
      </c>
      <c r="AJ420" s="57">
        <f>IF(AN420=0,K420,0)</f>
      </c>
      <c r="AK420" s="57">
        <f>IF(AN420=12,K420,0)</f>
      </c>
      <c r="AL420" s="57">
        <f>IF(AN420=21,K420,0)</f>
      </c>
      <c r="AN420" s="57" t="n">
        <v>21</v>
      </c>
      <c r="AO420" s="57">
        <f>H420*0</f>
      </c>
      <c r="AP420" s="57">
        <f>H420*(1-0)</f>
      </c>
      <c r="AQ420" s="60" t="s">
        <v>56</v>
      </c>
      <c r="AV420" s="57">
        <f>AW420+AX420</f>
      </c>
      <c r="AW420" s="57">
        <f>G420*AO420</f>
      </c>
      <c r="AX420" s="57">
        <f>G420*AP420</f>
      </c>
      <c r="AY420" s="60" t="s">
        <v>566</v>
      </c>
      <c r="AZ420" s="60" t="s">
        <v>567</v>
      </c>
      <c r="BA420" s="33" t="s">
        <v>568</v>
      </c>
      <c r="BC420" s="57">
        <f>AW420+AX420</f>
      </c>
      <c r="BD420" s="57">
        <f>H420/(100-BE420)*100</f>
      </c>
      <c r="BE420" s="57" t="n">
        <v>0</v>
      </c>
      <c r="BF420" s="57">
        <f>420</f>
      </c>
      <c r="BH420" s="57">
        <f>G420*AO420</f>
      </c>
      <c r="BI420" s="57">
        <f>G420*AP420</f>
      </c>
      <c r="BJ420" s="57">
        <f>G420*H420</f>
      </c>
      <c r="BK420" s="57"/>
      <c r="BL420" s="57"/>
      <c r="BW420" s="57" t="n">
        <v>21</v>
      </c>
      <c r="BX420" s="16" t="s">
        <v>592</v>
      </c>
    </row>
    <row r="421" customHeight="true" ht="40.5">
      <c r="A421" s="61"/>
      <c r="C421" s="71" t="s">
        <v>87</v>
      </c>
      <c r="D421" s="72" t="s">
        <v>593</v>
      </c>
      <c r="E421" s="73"/>
      <c r="F421" s="73"/>
      <c r="G421" s="73"/>
      <c r="H421" s="74"/>
      <c r="I421" s="73"/>
      <c r="J421" s="73"/>
      <c r="K421" s="73"/>
      <c r="L421" s="75"/>
    </row>
    <row r="422">
      <c r="A422" s="10" t="s">
        <v>594</v>
      </c>
      <c r="B422" s="11" t="s">
        <v>557</v>
      </c>
      <c r="C422" s="11" t="s">
        <v>562</v>
      </c>
      <c r="D422" s="16" t="s">
        <v>595</v>
      </c>
      <c r="E422" s="11"/>
      <c r="F422" s="11" t="s">
        <v>564</v>
      </c>
      <c r="G422" s="57" t="n">
        <v>1</v>
      </c>
      <c r="H422" s="58" t="n">
        <v>0</v>
      </c>
      <c r="I422" s="57">
        <f>G422*AO422</f>
      </c>
      <c r="J422" s="57">
        <f>G422*AP422</f>
      </c>
      <c r="K422" s="57">
        <f>G422*H422</f>
      </c>
      <c r="L422" s="59" t="s">
        <v>60</v>
      </c>
      <c r="Z422" s="57">
        <f>IF(AQ422="5",BJ422,0)</f>
      </c>
      <c r="AB422" s="57">
        <f>IF(AQ422="1",BH422,0)</f>
      </c>
      <c r="AC422" s="57">
        <f>IF(AQ422="1",BI422,0)</f>
      </c>
      <c r="AD422" s="57">
        <f>IF(AQ422="7",BH422,0)</f>
      </c>
      <c r="AE422" s="57">
        <f>IF(AQ422="7",BI422,0)</f>
      </c>
      <c r="AF422" s="57">
        <f>IF(AQ422="2",BH422,0)</f>
      </c>
      <c r="AG422" s="57">
        <f>IF(AQ422="2",BI422,0)</f>
      </c>
      <c r="AH422" s="57">
        <f>IF(AQ422="0",BJ422,0)</f>
      </c>
      <c r="AI422" s="33" t="s">
        <v>557</v>
      </c>
      <c r="AJ422" s="57">
        <f>IF(AN422=0,K422,0)</f>
      </c>
      <c r="AK422" s="57">
        <f>IF(AN422=12,K422,0)</f>
      </c>
      <c r="AL422" s="57">
        <f>IF(AN422=21,K422,0)</f>
      </c>
      <c r="AN422" s="57" t="n">
        <v>21</v>
      </c>
      <c r="AO422" s="57">
        <f>H422*0</f>
      </c>
      <c r="AP422" s="57">
        <f>H422*(1-0)</f>
      </c>
      <c r="AQ422" s="60" t="s">
        <v>56</v>
      </c>
      <c r="AV422" s="57">
        <f>AW422+AX422</f>
      </c>
      <c r="AW422" s="57">
        <f>G422*AO422</f>
      </c>
      <c r="AX422" s="57">
        <f>G422*AP422</f>
      </c>
      <c r="AY422" s="60" t="s">
        <v>566</v>
      </c>
      <c r="AZ422" s="60" t="s">
        <v>567</v>
      </c>
      <c r="BA422" s="33" t="s">
        <v>568</v>
      </c>
      <c r="BC422" s="57">
        <f>AW422+AX422</f>
      </c>
      <c r="BD422" s="57">
        <f>H422/(100-BE422)*100</f>
      </c>
      <c r="BE422" s="57" t="n">
        <v>0</v>
      </c>
      <c r="BF422" s="57">
        <f>422</f>
      </c>
      <c r="BH422" s="57">
        <f>G422*AO422</f>
      </c>
      <c r="BI422" s="57">
        <f>G422*AP422</f>
      </c>
      <c r="BJ422" s="57">
        <f>G422*H422</f>
      </c>
      <c r="BK422" s="57"/>
      <c r="BL422" s="57"/>
      <c r="BW422" s="57" t="n">
        <v>21</v>
      </c>
      <c r="BX422" s="16" t="s">
        <v>595</v>
      </c>
    </row>
    <row r="423" customHeight="true" ht="13.5">
      <c r="A423" s="61"/>
      <c r="C423" s="71" t="s">
        <v>87</v>
      </c>
      <c r="D423" s="72" t="s">
        <v>596</v>
      </c>
      <c r="E423" s="73"/>
      <c r="F423" s="73"/>
      <c r="G423" s="73"/>
      <c r="H423" s="74"/>
      <c r="I423" s="73"/>
      <c r="J423" s="73"/>
      <c r="K423" s="73"/>
      <c r="L423" s="75"/>
    </row>
    <row r="424">
      <c r="A424" s="10" t="s">
        <v>597</v>
      </c>
      <c r="B424" s="11" t="s">
        <v>557</v>
      </c>
      <c r="C424" s="11" t="s">
        <v>598</v>
      </c>
      <c r="D424" s="16" t="s">
        <v>599</v>
      </c>
      <c r="E424" s="11"/>
      <c r="F424" s="11" t="s">
        <v>564</v>
      </c>
      <c r="G424" s="57" t="n">
        <v>1</v>
      </c>
      <c r="H424" s="58" t="n">
        <v>0</v>
      </c>
      <c r="I424" s="57">
        <f>G424*AO424</f>
      </c>
      <c r="J424" s="57">
        <f>G424*AP424</f>
      </c>
      <c r="K424" s="57">
        <f>G424*H424</f>
      </c>
      <c r="L424" s="59" t="s">
        <v>60</v>
      </c>
      <c r="Z424" s="57">
        <f>IF(AQ424="5",BJ424,0)</f>
      </c>
      <c r="AB424" s="57">
        <f>IF(AQ424="1",BH424,0)</f>
      </c>
      <c r="AC424" s="57">
        <f>IF(AQ424="1",BI424,0)</f>
      </c>
      <c r="AD424" s="57">
        <f>IF(AQ424="7",BH424,0)</f>
      </c>
      <c r="AE424" s="57">
        <f>IF(AQ424="7",BI424,0)</f>
      </c>
      <c r="AF424" s="57">
        <f>IF(AQ424="2",BH424,0)</f>
      </c>
      <c r="AG424" s="57">
        <f>IF(AQ424="2",BI424,0)</f>
      </c>
      <c r="AH424" s="57">
        <f>IF(AQ424="0",BJ424,0)</f>
      </c>
      <c r="AI424" s="33" t="s">
        <v>557</v>
      </c>
      <c r="AJ424" s="57">
        <f>IF(AN424=0,K424,0)</f>
      </c>
      <c r="AK424" s="57">
        <f>IF(AN424=12,K424,0)</f>
      </c>
      <c r="AL424" s="57">
        <f>IF(AN424=21,K424,0)</f>
      </c>
      <c r="AN424" s="57" t="n">
        <v>21</v>
      </c>
      <c r="AO424" s="57">
        <f>H424*0</f>
      </c>
      <c r="AP424" s="57">
        <f>H424*(1-0)</f>
      </c>
      <c r="AQ424" s="60" t="s">
        <v>56</v>
      </c>
      <c r="AV424" s="57">
        <f>AW424+AX424</f>
      </c>
      <c r="AW424" s="57">
        <f>G424*AO424</f>
      </c>
      <c r="AX424" s="57">
        <f>G424*AP424</f>
      </c>
      <c r="AY424" s="60" t="s">
        <v>566</v>
      </c>
      <c r="AZ424" s="60" t="s">
        <v>567</v>
      </c>
      <c r="BA424" s="33" t="s">
        <v>568</v>
      </c>
      <c r="BC424" s="57">
        <f>AW424+AX424</f>
      </c>
      <c r="BD424" s="57">
        <f>H424/(100-BE424)*100</f>
      </c>
      <c r="BE424" s="57" t="n">
        <v>0</v>
      </c>
      <c r="BF424" s="57">
        <f>424</f>
      </c>
      <c r="BH424" s="57">
        <f>G424*AO424</f>
      </c>
      <c r="BI424" s="57">
        <f>G424*AP424</f>
      </c>
      <c r="BJ424" s="57">
        <f>G424*H424</f>
      </c>
      <c r="BK424" s="57"/>
      <c r="BL424" s="57"/>
      <c r="BW424" s="57" t="n">
        <v>21</v>
      </c>
      <c r="BX424" s="16" t="s">
        <v>599</v>
      </c>
    </row>
    <row r="425" customHeight="true" ht="13.5">
      <c r="A425" s="61"/>
      <c r="C425" s="71" t="s">
        <v>87</v>
      </c>
      <c r="D425" s="72" t="s">
        <v>600</v>
      </c>
      <c r="E425" s="73"/>
      <c r="F425" s="73"/>
      <c r="G425" s="73"/>
      <c r="H425" s="74"/>
      <c r="I425" s="73"/>
      <c r="J425" s="73"/>
      <c r="K425" s="73"/>
      <c r="L425" s="75"/>
    </row>
    <row r="426">
      <c r="A426" s="10" t="s">
        <v>601</v>
      </c>
      <c r="B426" s="11" t="s">
        <v>557</v>
      </c>
      <c r="C426" s="11" t="s">
        <v>598</v>
      </c>
      <c r="D426" s="16" t="s">
        <v>602</v>
      </c>
      <c r="E426" s="11"/>
      <c r="F426" s="11" t="s">
        <v>564</v>
      </c>
      <c r="G426" s="57" t="n">
        <v>1</v>
      </c>
      <c r="H426" s="58" t="n">
        <v>0</v>
      </c>
      <c r="I426" s="57">
        <f>G426*AO426</f>
      </c>
      <c r="J426" s="57">
        <f>G426*AP426</f>
      </c>
      <c r="K426" s="57">
        <f>G426*H426</f>
      </c>
      <c r="L426" s="59" t="s">
        <v>60</v>
      </c>
      <c r="Z426" s="57">
        <f>IF(AQ426="5",BJ426,0)</f>
      </c>
      <c r="AB426" s="57">
        <f>IF(AQ426="1",BH426,0)</f>
      </c>
      <c r="AC426" s="57">
        <f>IF(AQ426="1",BI426,0)</f>
      </c>
      <c r="AD426" s="57">
        <f>IF(AQ426="7",BH426,0)</f>
      </c>
      <c r="AE426" s="57">
        <f>IF(AQ426="7",BI426,0)</f>
      </c>
      <c r="AF426" s="57">
        <f>IF(AQ426="2",BH426,0)</f>
      </c>
      <c r="AG426" s="57">
        <f>IF(AQ426="2",BI426,0)</f>
      </c>
      <c r="AH426" s="57">
        <f>IF(AQ426="0",BJ426,0)</f>
      </c>
      <c r="AI426" s="33" t="s">
        <v>557</v>
      </c>
      <c r="AJ426" s="57">
        <f>IF(AN426=0,K426,0)</f>
      </c>
      <c r="AK426" s="57">
        <f>IF(AN426=12,K426,0)</f>
      </c>
      <c r="AL426" s="57">
        <f>IF(AN426=21,K426,0)</f>
      </c>
      <c r="AN426" s="57" t="n">
        <v>21</v>
      </c>
      <c r="AO426" s="57">
        <f>H426*0</f>
      </c>
      <c r="AP426" s="57">
        <f>H426*(1-0)</f>
      </c>
      <c r="AQ426" s="60" t="s">
        <v>56</v>
      </c>
      <c r="AV426" s="57">
        <f>AW426+AX426</f>
      </c>
      <c r="AW426" s="57">
        <f>G426*AO426</f>
      </c>
      <c r="AX426" s="57">
        <f>G426*AP426</f>
      </c>
      <c r="AY426" s="60" t="s">
        <v>566</v>
      </c>
      <c r="AZ426" s="60" t="s">
        <v>567</v>
      </c>
      <c r="BA426" s="33" t="s">
        <v>568</v>
      </c>
      <c r="BC426" s="57">
        <f>AW426+AX426</f>
      </c>
      <c r="BD426" s="57">
        <f>H426/(100-BE426)*100</f>
      </c>
      <c r="BE426" s="57" t="n">
        <v>0</v>
      </c>
      <c r="BF426" s="57">
        <f>426</f>
      </c>
      <c r="BH426" s="57">
        <f>G426*AO426</f>
      </c>
      <c r="BI426" s="57">
        <f>G426*AP426</f>
      </c>
      <c r="BJ426" s="57">
        <f>G426*H426</f>
      </c>
      <c r="BK426" s="57"/>
      <c r="BL426" s="57"/>
      <c r="BW426" s="57" t="n">
        <v>21</v>
      </c>
      <c r="BX426" s="16" t="s">
        <v>602</v>
      </c>
    </row>
    <row r="427" customHeight="true" ht="27">
      <c r="A427" s="61"/>
      <c r="C427" s="71" t="s">
        <v>87</v>
      </c>
      <c r="D427" s="72" t="s">
        <v>603</v>
      </c>
      <c r="E427" s="73"/>
      <c r="F427" s="73"/>
      <c r="G427" s="73"/>
      <c r="H427" s="74"/>
      <c r="I427" s="73"/>
      <c r="J427" s="73"/>
      <c r="K427" s="73"/>
      <c r="L427" s="75"/>
    </row>
    <row r="428">
      <c r="A428" s="10" t="s">
        <v>604</v>
      </c>
      <c r="B428" s="11" t="s">
        <v>557</v>
      </c>
      <c r="C428" s="11" t="s">
        <v>598</v>
      </c>
      <c r="D428" s="16" t="s">
        <v>605</v>
      </c>
      <c r="E428" s="11"/>
      <c r="F428" s="11" t="s">
        <v>564</v>
      </c>
      <c r="G428" s="57" t="n">
        <v>1</v>
      </c>
      <c r="H428" s="58" t="n">
        <v>0</v>
      </c>
      <c r="I428" s="57">
        <f>G428*AO428</f>
      </c>
      <c r="J428" s="57">
        <f>G428*AP428</f>
      </c>
      <c r="K428" s="57">
        <f>G428*H428</f>
      </c>
      <c r="L428" s="59" t="s">
        <v>60</v>
      </c>
      <c r="Z428" s="57">
        <f>IF(AQ428="5",BJ428,0)</f>
      </c>
      <c r="AB428" s="57">
        <f>IF(AQ428="1",BH428,0)</f>
      </c>
      <c r="AC428" s="57">
        <f>IF(AQ428="1",BI428,0)</f>
      </c>
      <c r="AD428" s="57">
        <f>IF(AQ428="7",BH428,0)</f>
      </c>
      <c r="AE428" s="57">
        <f>IF(AQ428="7",BI428,0)</f>
      </c>
      <c r="AF428" s="57">
        <f>IF(AQ428="2",BH428,0)</f>
      </c>
      <c r="AG428" s="57">
        <f>IF(AQ428="2",BI428,0)</f>
      </c>
      <c r="AH428" s="57">
        <f>IF(AQ428="0",BJ428,0)</f>
      </c>
      <c r="AI428" s="33" t="s">
        <v>557</v>
      </c>
      <c r="AJ428" s="57">
        <f>IF(AN428=0,K428,0)</f>
      </c>
      <c r="AK428" s="57">
        <f>IF(AN428=12,K428,0)</f>
      </c>
      <c r="AL428" s="57">
        <f>IF(AN428=21,K428,0)</f>
      </c>
      <c r="AN428" s="57" t="n">
        <v>21</v>
      </c>
      <c r="AO428" s="57">
        <f>H428*0</f>
      </c>
      <c r="AP428" s="57">
        <f>H428*(1-0)</f>
      </c>
      <c r="AQ428" s="60" t="s">
        <v>56</v>
      </c>
      <c r="AV428" s="57">
        <f>AW428+AX428</f>
      </c>
      <c r="AW428" s="57">
        <f>G428*AO428</f>
      </c>
      <c r="AX428" s="57">
        <f>G428*AP428</f>
      </c>
      <c r="AY428" s="60" t="s">
        <v>566</v>
      </c>
      <c r="AZ428" s="60" t="s">
        <v>567</v>
      </c>
      <c r="BA428" s="33" t="s">
        <v>568</v>
      </c>
      <c r="BC428" s="57">
        <f>AW428+AX428</f>
      </c>
      <c r="BD428" s="57">
        <f>H428/(100-BE428)*100</f>
      </c>
      <c r="BE428" s="57" t="n">
        <v>0</v>
      </c>
      <c r="BF428" s="57">
        <f>428</f>
      </c>
      <c r="BH428" s="57">
        <f>G428*AO428</f>
      </c>
      <c r="BI428" s="57">
        <f>G428*AP428</f>
      </c>
      <c r="BJ428" s="57">
        <f>G428*H428</f>
      </c>
      <c r="BK428" s="57"/>
      <c r="BL428" s="57"/>
      <c r="BW428" s="57" t="n">
        <v>21</v>
      </c>
      <c r="BX428" s="16" t="s">
        <v>605</v>
      </c>
    </row>
    <row r="429" customHeight="true" ht="27">
      <c r="A429" s="61"/>
      <c r="C429" s="71" t="s">
        <v>87</v>
      </c>
      <c r="D429" s="72" t="s">
        <v>606</v>
      </c>
      <c r="E429" s="73"/>
      <c r="F429" s="73"/>
      <c r="G429" s="73"/>
      <c r="H429" s="74"/>
      <c r="I429" s="73"/>
      <c r="J429" s="73"/>
      <c r="K429" s="73"/>
      <c r="L429" s="75"/>
    </row>
    <row r="430">
      <c r="A430" s="51" t="s">
        <v>51</v>
      </c>
      <c r="B430" s="52" t="s">
        <v>607</v>
      </c>
      <c r="C430" s="52" t="s">
        <v>51</v>
      </c>
      <c r="D430" s="53" t="s">
        <v>608</v>
      </c>
      <c r="E430" s="52"/>
      <c r="F430" s="54" t="s">
        <v>4</v>
      </c>
      <c r="G430" s="54" t="s">
        <v>4</v>
      </c>
      <c r="H430" s="55" t="s">
        <v>4</v>
      </c>
      <c r="I430" s="2">
        <f>I431</f>
      </c>
      <c r="J430" s="2">
        <f>J431</f>
      </c>
      <c r="K430" s="2">
        <f>K431</f>
      </c>
      <c r="L430" s="56" t="s">
        <v>51</v>
      </c>
    </row>
    <row r="431">
      <c r="A431" s="51" t="s">
        <v>51</v>
      </c>
      <c r="B431" s="52" t="s">
        <v>607</v>
      </c>
      <c r="C431" s="52" t="s">
        <v>559</v>
      </c>
      <c r="D431" s="53" t="s">
        <v>560</v>
      </c>
      <c r="E431" s="52"/>
      <c r="F431" s="54" t="s">
        <v>4</v>
      </c>
      <c r="G431" s="54" t="s">
        <v>4</v>
      </c>
      <c r="H431" s="55" t="s">
        <v>4</v>
      </c>
      <c r="I431" s="2">
        <f>SUM(I432:I432)</f>
      </c>
      <c r="J431" s="2">
        <f>SUM(J432:J432)</f>
      </c>
      <c r="K431" s="2">
        <f>SUM(K432:K432)</f>
      </c>
      <c r="L431" s="56" t="s">
        <v>51</v>
      </c>
      <c r="AI431" s="33" t="s">
        <v>607</v>
      </c>
      <c r="AS431" s="2">
        <f>SUM(AJ432:AJ432)</f>
      </c>
      <c r="AT431" s="2">
        <f>SUM(AK432:AK432)</f>
      </c>
      <c r="AU431" s="2">
        <f>SUM(AL432:AL432)</f>
      </c>
    </row>
    <row r="432">
      <c r="A432" s="10" t="s">
        <v>609</v>
      </c>
      <c r="B432" s="11" t="s">
        <v>607</v>
      </c>
      <c r="C432" s="11" t="s">
        <v>562</v>
      </c>
      <c r="D432" s="16" t="s">
        <v>610</v>
      </c>
      <c r="E432" s="11"/>
      <c r="F432" s="11" t="s">
        <v>564</v>
      </c>
      <c r="G432" s="57" t="n">
        <v>1</v>
      </c>
      <c r="H432" s="58" t="n">
        <v>0</v>
      </c>
      <c r="I432" s="57">
        <f>G432*AO432</f>
      </c>
      <c r="J432" s="57">
        <f>G432*AP432</f>
      </c>
      <c r="K432" s="57">
        <f>G432*H432</f>
      </c>
      <c r="L432" s="59" t="s">
        <v>60</v>
      </c>
      <c r="Z432" s="57">
        <f>IF(AQ432="5",BJ432,0)</f>
      </c>
      <c r="AB432" s="57">
        <f>IF(AQ432="1",BH432,0)</f>
      </c>
      <c r="AC432" s="57">
        <f>IF(AQ432="1",BI432,0)</f>
      </c>
      <c r="AD432" s="57">
        <f>IF(AQ432="7",BH432,0)</f>
      </c>
      <c r="AE432" s="57">
        <f>IF(AQ432="7",BI432,0)</f>
      </c>
      <c r="AF432" s="57">
        <f>IF(AQ432="2",BH432,0)</f>
      </c>
      <c r="AG432" s="57">
        <f>IF(AQ432="2",BI432,0)</f>
      </c>
      <c r="AH432" s="57">
        <f>IF(AQ432="0",BJ432,0)</f>
      </c>
      <c r="AI432" s="33" t="s">
        <v>607</v>
      </c>
      <c r="AJ432" s="57">
        <f>IF(AN432=0,K432,0)</f>
      </c>
      <c r="AK432" s="57">
        <f>IF(AN432=12,K432,0)</f>
      </c>
      <c r="AL432" s="57">
        <f>IF(AN432=21,K432,0)</f>
      </c>
      <c r="AN432" s="57" t="n">
        <v>21</v>
      </c>
      <c r="AO432" s="57">
        <f>H432*0</f>
      </c>
      <c r="AP432" s="57">
        <f>H432*(1-0)</f>
      </c>
      <c r="AQ432" s="60" t="s">
        <v>56</v>
      </c>
      <c r="AV432" s="57">
        <f>AW432+AX432</f>
      </c>
      <c r="AW432" s="57">
        <f>G432*AO432</f>
      </c>
      <c r="AX432" s="57">
        <f>G432*AP432</f>
      </c>
      <c r="AY432" s="60" t="s">
        <v>566</v>
      </c>
      <c r="AZ432" s="60" t="s">
        <v>611</v>
      </c>
      <c r="BA432" s="33" t="s">
        <v>612</v>
      </c>
      <c r="BC432" s="57">
        <f>AW432+AX432</f>
      </c>
      <c r="BD432" s="57">
        <f>H432/(100-BE432)*100</f>
      </c>
      <c r="BE432" s="57" t="n">
        <v>0</v>
      </c>
      <c r="BF432" s="57">
        <f>432</f>
      </c>
      <c r="BH432" s="57">
        <f>G432*AO432</f>
      </c>
      <c r="BI432" s="57">
        <f>G432*AP432</f>
      </c>
      <c r="BJ432" s="57">
        <f>G432*H432</f>
      </c>
      <c r="BK432" s="57"/>
      <c r="BL432" s="57"/>
      <c r="BW432" s="57" t="n">
        <v>21</v>
      </c>
      <c r="BX432" s="16" t="s">
        <v>610</v>
      </c>
    </row>
    <row r="433" customHeight="true" ht="27">
      <c r="A433" s="76"/>
      <c r="B433" s="77"/>
      <c r="C433" s="78" t="s">
        <v>87</v>
      </c>
      <c r="D433" s="79" t="s">
        <v>613</v>
      </c>
      <c r="E433" s="80"/>
      <c r="F433" s="80"/>
      <c r="G433" s="80"/>
      <c r="H433" s="81"/>
      <c r="I433" s="80"/>
      <c r="J433" s="80"/>
      <c r="K433" s="80"/>
      <c r="L433" s="82"/>
    </row>
    <row r="434">
      <c r="I434" s="83" t="s">
        <v>614</v>
      </c>
      <c r="J434" s="83"/>
      <c r="K434" s="84">
        <f>K13+K19+K22+K30+K38+K45+K51+K57+K61+K64+K77+K93+K100+K103+K110+K118+K124+K130+K133+K139+K145+K148+K161+K183+K189+K192+K198+K202+K207+K213+K216+K222+K224+K230+K233+K240+K259+K264+K270+K276+K284+K297+K307+K311+K323+K329+K350+K353+K359+K362+K369+K403+K431</f>
      </c>
    </row>
    <row r="435">
      <c r="A435" s="85" t="s">
        <v>87</v>
      </c>
    </row>
    <row r="436" customHeight="true" ht="13.5">
      <c r="A436" s="16" t="s">
        <v>615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AF3"/>
  <mergeCells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L3"/>
    <mergeCell ref="J4:L5"/>
    <mergeCell ref="J6:L7"/>
    <mergeCell ref="J8:L9"/>
    <mergeCell ref="D10:E10"/>
    <mergeCell ref="D11:E11"/>
    <mergeCell ref="I10:K10"/>
    <mergeCell ref="D12:E12"/>
    <mergeCell ref="D13:E13"/>
    <mergeCell ref="D14:E14"/>
    <mergeCell ref="D16:E16"/>
    <mergeCell ref="D17:L17"/>
    <mergeCell ref="D19:E19"/>
    <mergeCell ref="D20:E20"/>
    <mergeCell ref="D22:E22"/>
    <mergeCell ref="D23:E23"/>
    <mergeCell ref="D25:L25"/>
    <mergeCell ref="D26:E26"/>
    <mergeCell ref="D28:E28"/>
    <mergeCell ref="D30:E30"/>
    <mergeCell ref="D31:E31"/>
    <mergeCell ref="D32:L32"/>
    <mergeCell ref="D34:L34"/>
    <mergeCell ref="D35:E35"/>
    <mergeCell ref="D36:L36"/>
    <mergeCell ref="D38:E38"/>
    <mergeCell ref="D39:E39"/>
    <mergeCell ref="D40:E40"/>
    <mergeCell ref="D41:E41"/>
    <mergeCell ref="D43:E43"/>
    <mergeCell ref="D45:E45"/>
    <mergeCell ref="D46:E46"/>
    <mergeCell ref="D47:L47"/>
    <mergeCell ref="D49:E49"/>
    <mergeCell ref="D50:L50"/>
    <mergeCell ref="D51:E51"/>
    <mergeCell ref="D52:E52"/>
    <mergeCell ref="D53:L53"/>
    <mergeCell ref="D54:E54"/>
    <mergeCell ref="D55:E55"/>
    <mergeCell ref="D57:E57"/>
    <mergeCell ref="D58:E58"/>
    <mergeCell ref="D60:L60"/>
    <mergeCell ref="D61:E61"/>
    <mergeCell ref="D62:E62"/>
    <mergeCell ref="D64:E64"/>
    <mergeCell ref="D65:E65"/>
    <mergeCell ref="D66:E66"/>
    <mergeCell ref="D68:L68"/>
    <mergeCell ref="D69:E69"/>
    <mergeCell ref="D70:L70"/>
    <mergeCell ref="D72:L72"/>
    <mergeCell ref="D73:E73"/>
    <mergeCell ref="D74:L74"/>
    <mergeCell ref="D75:E75"/>
    <mergeCell ref="D76:L76"/>
    <mergeCell ref="D77:E77"/>
    <mergeCell ref="D78:E78"/>
    <mergeCell ref="D80:E80"/>
    <mergeCell ref="D82:E82"/>
    <mergeCell ref="D85:E85"/>
    <mergeCell ref="D88:E88"/>
    <mergeCell ref="D91:L91"/>
    <mergeCell ref="D92:E92"/>
    <mergeCell ref="D93:E93"/>
    <mergeCell ref="D94:E94"/>
    <mergeCell ref="D95:L95"/>
    <mergeCell ref="D97:E97"/>
    <mergeCell ref="D98:L98"/>
    <mergeCell ref="D100:E100"/>
    <mergeCell ref="D101:E101"/>
    <mergeCell ref="D103:E103"/>
    <mergeCell ref="D104:E104"/>
    <mergeCell ref="D106:L106"/>
    <mergeCell ref="D107:E107"/>
    <mergeCell ref="D109:E109"/>
    <mergeCell ref="D110:E110"/>
    <mergeCell ref="D111:E111"/>
    <mergeCell ref="D112:L112"/>
    <mergeCell ref="D114:L114"/>
    <mergeCell ref="D115:E115"/>
    <mergeCell ref="D116:L116"/>
    <mergeCell ref="D118:E118"/>
    <mergeCell ref="D119:E119"/>
    <mergeCell ref="D120:E120"/>
    <mergeCell ref="D121:E121"/>
    <mergeCell ref="D123:E123"/>
    <mergeCell ref="D124:E124"/>
    <mergeCell ref="D125:E125"/>
    <mergeCell ref="D126:L126"/>
    <mergeCell ref="D128:E128"/>
    <mergeCell ref="D129:L129"/>
    <mergeCell ref="D130:E130"/>
    <mergeCell ref="D131:E131"/>
    <mergeCell ref="D132:L132"/>
    <mergeCell ref="D133:E133"/>
    <mergeCell ref="D134:E134"/>
    <mergeCell ref="D135:L135"/>
    <mergeCell ref="D136:E136"/>
    <mergeCell ref="D137:E137"/>
    <mergeCell ref="D139:E139"/>
    <mergeCell ref="D140:E140"/>
    <mergeCell ref="D141:L141"/>
    <mergeCell ref="D142:E142"/>
    <mergeCell ref="D144:L144"/>
    <mergeCell ref="D145:E145"/>
    <mergeCell ref="D146:E146"/>
    <mergeCell ref="D148:E148"/>
    <mergeCell ref="D149:E149"/>
    <mergeCell ref="D150:E150"/>
    <mergeCell ref="D152:L152"/>
    <mergeCell ref="D153:E153"/>
    <mergeCell ref="D154:L154"/>
    <mergeCell ref="D156:L156"/>
    <mergeCell ref="D157:E157"/>
    <mergeCell ref="D158:L158"/>
    <mergeCell ref="D159:E159"/>
    <mergeCell ref="D160:L160"/>
    <mergeCell ref="D161:E161"/>
    <mergeCell ref="D162:E162"/>
    <mergeCell ref="D164:E164"/>
    <mergeCell ref="D166:E166"/>
    <mergeCell ref="D169:E169"/>
    <mergeCell ref="D172:E172"/>
    <mergeCell ref="D175:E175"/>
    <mergeCell ref="D178:E178"/>
    <mergeCell ref="D181:L181"/>
    <mergeCell ref="D182:E182"/>
    <mergeCell ref="D183:E183"/>
    <mergeCell ref="D184:E184"/>
    <mergeCell ref="D185:L185"/>
    <mergeCell ref="D186:E186"/>
    <mergeCell ref="D187:L187"/>
    <mergeCell ref="D189:E189"/>
    <mergeCell ref="D190:E190"/>
    <mergeCell ref="D192:E192"/>
    <mergeCell ref="D193:E193"/>
    <mergeCell ref="D194:L194"/>
    <mergeCell ref="D195:E195"/>
    <mergeCell ref="D197:E197"/>
    <mergeCell ref="D198:E198"/>
    <mergeCell ref="D199:E199"/>
    <mergeCell ref="D200:L200"/>
    <mergeCell ref="D202:E202"/>
    <mergeCell ref="D203:E203"/>
    <mergeCell ref="D204:E204"/>
    <mergeCell ref="D206:E206"/>
    <mergeCell ref="D207:E207"/>
    <mergeCell ref="D208:E208"/>
    <mergeCell ref="D209:L209"/>
    <mergeCell ref="D211:E211"/>
    <mergeCell ref="D212:L212"/>
    <mergeCell ref="D213:E213"/>
    <mergeCell ref="D214:E214"/>
    <mergeCell ref="D215:L215"/>
    <mergeCell ref="D216:E216"/>
    <mergeCell ref="D217:E217"/>
    <mergeCell ref="D218:L218"/>
    <mergeCell ref="D219:E219"/>
    <mergeCell ref="D220:E220"/>
    <mergeCell ref="D222:E222"/>
    <mergeCell ref="D223:E223"/>
    <mergeCell ref="D224:E224"/>
    <mergeCell ref="D225:E225"/>
    <mergeCell ref="D226:L226"/>
    <mergeCell ref="D227:E227"/>
    <mergeCell ref="D229:L229"/>
    <mergeCell ref="D230:E230"/>
    <mergeCell ref="D231:E231"/>
    <mergeCell ref="D233:E233"/>
    <mergeCell ref="D234:E234"/>
    <mergeCell ref="D235:E235"/>
    <mergeCell ref="D237:L237"/>
    <mergeCell ref="D238:E238"/>
    <mergeCell ref="D239:L239"/>
    <mergeCell ref="D240:E240"/>
    <mergeCell ref="D241:E241"/>
    <mergeCell ref="D243:E243"/>
    <mergeCell ref="D245:E245"/>
    <mergeCell ref="D248:E248"/>
    <mergeCell ref="D251:E251"/>
    <mergeCell ref="D254:E254"/>
    <mergeCell ref="D257:L257"/>
    <mergeCell ref="D258:E258"/>
    <mergeCell ref="D259:E259"/>
    <mergeCell ref="D260:E260"/>
    <mergeCell ref="D261:E261"/>
    <mergeCell ref="D262:L262"/>
    <mergeCell ref="D264:E264"/>
    <mergeCell ref="D265:E265"/>
    <mergeCell ref="D267:E267"/>
    <mergeCell ref="D269:E269"/>
    <mergeCell ref="D270:E270"/>
    <mergeCell ref="D271:E271"/>
    <mergeCell ref="D272:L272"/>
    <mergeCell ref="D274:L274"/>
    <mergeCell ref="D275:E275"/>
    <mergeCell ref="D276:E276"/>
    <mergeCell ref="D277:E277"/>
    <mergeCell ref="D279:E279"/>
    <mergeCell ref="D281:E281"/>
    <mergeCell ref="D282:L282"/>
    <mergeCell ref="D283:E283"/>
    <mergeCell ref="D284:E284"/>
    <mergeCell ref="D285:E285"/>
    <mergeCell ref="D287:E287"/>
    <mergeCell ref="D288:L288"/>
    <mergeCell ref="D290:L290"/>
    <mergeCell ref="D291:E291"/>
    <mergeCell ref="D292:L292"/>
    <mergeCell ref="D294:E294"/>
    <mergeCell ref="D295:L295"/>
    <mergeCell ref="D297:E297"/>
    <mergeCell ref="D298:E298"/>
    <mergeCell ref="D299:E299"/>
    <mergeCell ref="D300:E300"/>
    <mergeCell ref="D301:L301"/>
    <mergeCell ref="D302:E302"/>
    <mergeCell ref="D304:E304"/>
    <mergeCell ref="D305:E305"/>
    <mergeCell ref="D306:E306"/>
    <mergeCell ref="D307:E307"/>
    <mergeCell ref="D308:E308"/>
    <mergeCell ref="D309:L309"/>
    <mergeCell ref="D311:E311"/>
    <mergeCell ref="D312:E312"/>
    <mergeCell ref="D313:L313"/>
    <mergeCell ref="D315:E315"/>
    <mergeCell ref="D316:L316"/>
    <mergeCell ref="D317:E317"/>
    <mergeCell ref="D318:L318"/>
    <mergeCell ref="D320:E320"/>
    <mergeCell ref="D321:L321"/>
    <mergeCell ref="D323:E323"/>
    <mergeCell ref="D324:E324"/>
    <mergeCell ref="D325:L325"/>
    <mergeCell ref="D326:E326"/>
    <mergeCell ref="D327:L327"/>
    <mergeCell ref="D329:E329"/>
    <mergeCell ref="D330:E330"/>
    <mergeCell ref="D331:E331"/>
    <mergeCell ref="D332:L332"/>
    <mergeCell ref="D334:E334"/>
    <mergeCell ref="D335:E335"/>
    <mergeCell ref="D336:E336"/>
    <mergeCell ref="D337:E337"/>
    <mergeCell ref="D339:E339"/>
    <mergeCell ref="D340:L340"/>
    <mergeCell ref="D341:E341"/>
    <mergeCell ref="D342:E342"/>
    <mergeCell ref="D343:E343"/>
    <mergeCell ref="D344:L344"/>
    <mergeCell ref="D345:E345"/>
    <mergeCell ref="D346:L346"/>
    <mergeCell ref="D347:E347"/>
    <mergeCell ref="D348:E348"/>
    <mergeCell ref="D349:L349"/>
    <mergeCell ref="D350:E350"/>
    <mergeCell ref="D351:E351"/>
    <mergeCell ref="D352:L352"/>
    <mergeCell ref="D353:E353"/>
    <mergeCell ref="D354:E354"/>
    <mergeCell ref="D355:L355"/>
    <mergeCell ref="D357:E357"/>
    <mergeCell ref="D359:E359"/>
    <mergeCell ref="D360:E360"/>
    <mergeCell ref="D362:E362"/>
    <mergeCell ref="D363:E363"/>
    <mergeCell ref="D364:E364"/>
    <mergeCell ref="D366:L366"/>
    <mergeCell ref="D367:E367"/>
    <mergeCell ref="D368:L368"/>
    <mergeCell ref="D369:E369"/>
    <mergeCell ref="D370:E370"/>
    <mergeCell ref="D372:E372"/>
    <mergeCell ref="D374:E374"/>
    <mergeCell ref="D376:L376"/>
    <mergeCell ref="D377:E377"/>
    <mergeCell ref="D380:E380"/>
    <mergeCell ref="D383:E383"/>
    <mergeCell ref="D386:E386"/>
    <mergeCell ref="D389:E389"/>
    <mergeCell ref="D392:E392"/>
    <mergeCell ref="D395:E395"/>
    <mergeCell ref="D398:L398"/>
    <mergeCell ref="D399:E399"/>
    <mergeCell ref="D402:E402"/>
    <mergeCell ref="D403:E403"/>
    <mergeCell ref="D404:E404"/>
    <mergeCell ref="D405:L405"/>
    <mergeCell ref="D406:E406"/>
    <mergeCell ref="D407:L407"/>
    <mergeCell ref="D408:E408"/>
    <mergeCell ref="D409:L409"/>
    <mergeCell ref="D410:E410"/>
    <mergeCell ref="D411:L411"/>
    <mergeCell ref="D412:E412"/>
    <mergeCell ref="D413:L413"/>
    <mergeCell ref="D414:E414"/>
    <mergeCell ref="D415:L415"/>
    <mergeCell ref="D416:E416"/>
    <mergeCell ref="D417:L417"/>
    <mergeCell ref="D418:E418"/>
    <mergeCell ref="D419:L419"/>
    <mergeCell ref="D420:E420"/>
    <mergeCell ref="D421:L421"/>
    <mergeCell ref="D422:E422"/>
    <mergeCell ref="D423:L423"/>
    <mergeCell ref="D424:E424"/>
    <mergeCell ref="D425:L425"/>
    <mergeCell ref="D426:E426"/>
    <mergeCell ref="D427:L427"/>
    <mergeCell ref="D428:E428"/>
    <mergeCell ref="D429:L429"/>
    <mergeCell ref="D430:E430"/>
    <mergeCell ref="D431:E431"/>
    <mergeCell ref="D432:E432"/>
    <mergeCell ref="D433:L433"/>
    <mergeCell ref="I434:J434"/>
    <mergeCell ref="A436:L43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P20"/>
  <sheetViews>
    <sheetView workbookViewId="0" showZeros="true" showFormulas="false" showGridLines="true" showRowColHeaders="true">
      <pane topLeftCell="A12" state="frozen" activePane="bottomLeft" ySplit="11"/>
      <selection pane="bottomLeft" sqref="A20:L20" activeCell="A20"/>
    </sheetView>
  </sheetViews>
  <sheetFormatPr defaultColWidth="12.140625" customHeight="true" defaultRowHeight="15"/>
  <cols>
    <col max="1" min="1" style="0" width="7.5703125" customWidth="true"/>
    <col max="9" min="2" style="0" width="15.7109375" customWidth="true"/>
    <col max="12" min="10" style="0" width="14.28515625" customWidth="true"/>
    <col max="16" min="13" style="0" width="12.140625" hidden="true"/>
  </cols>
  <sheetData>
    <row r="1" customHeight="true" ht="54.75">
      <c r="A1" s="1" t="s">
        <v>616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>
      <c r="A2" s="3" t="s">
        <v>1</v>
      </c>
      <c r="B2" s="4"/>
      <c r="C2" s="4"/>
      <c r="D2" s="5">
        <f>'Stavební rozpočet'!D2</f>
      </c>
      <c r="E2" s="6"/>
      <c r="F2" s="6"/>
      <c r="G2" s="8" t="s">
        <v>3</v>
      </c>
      <c r="H2" s="8">
        <f>'Stavební rozpočet'!H2</f>
      </c>
      <c r="I2" s="8" t="s">
        <v>5</v>
      </c>
      <c r="J2" s="8">
        <f>'Stavební rozpočet'!J2</f>
      </c>
      <c r="K2" s="4"/>
      <c r="L2" s="9"/>
    </row>
    <row r="3" customHeight="true" ht="15">
      <c r="A3" s="10"/>
      <c r="B3" s="11"/>
      <c r="C3" s="11"/>
      <c r="D3" s="12"/>
      <c r="E3" s="12"/>
      <c r="F3" s="12"/>
      <c r="G3" s="11"/>
      <c r="H3" s="11"/>
      <c r="I3" s="11"/>
      <c r="J3" s="11"/>
      <c r="K3" s="11"/>
      <c r="L3" s="14"/>
    </row>
    <row r="4">
      <c r="A4" s="15" t="s">
        <v>7</v>
      </c>
      <c r="B4" s="11"/>
      <c r="C4" s="11"/>
      <c r="D4" s="16">
        <f>'Stavební rozpočet'!D4</f>
      </c>
      <c r="E4" s="11"/>
      <c r="F4" s="11"/>
      <c r="G4" s="16" t="s">
        <v>8</v>
      </c>
      <c r="H4" s="16">
        <f>'Stavební rozpočet'!H4</f>
      </c>
      <c r="I4" s="16" t="s">
        <v>9</v>
      </c>
      <c r="J4" s="16">
        <f>'Stavební rozpočet'!J4</f>
      </c>
      <c r="K4" s="11"/>
      <c r="L4" s="14"/>
    </row>
    <row r="5" customHeight="true" ht="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4"/>
    </row>
    <row r="6">
      <c r="A6" s="15" t="s">
        <v>11</v>
      </c>
      <c r="B6" s="11"/>
      <c r="C6" s="11"/>
      <c r="D6" s="16">
        <f>'Stavební rozpočet'!D6</f>
      </c>
      <c r="E6" s="11"/>
      <c r="F6" s="11"/>
      <c r="G6" s="16" t="s">
        <v>13</v>
      </c>
      <c r="H6" s="16">
        <f>'Stavební rozpočet'!H6</f>
      </c>
      <c r="I6" s="16" t="s">
        <v>14</v>
      </c>
      <c r="J6" s="16">
        <f>'Stavební rozpočet'!J6</f>
      </c>
      <c r="K6" s="11"/>
      <c r="L6" s="14"/>
    </row>
    <row r="7" customHeight="true" ht="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4"/>
    </row>
    <row r="8">
      <c r="A8" s="15" t="s">
        <v>16</v>
      </c>
      <c r="B8" s="11"/>
      <c r="C8" s="11"/>
      <c r="D8" s="16">
        <f>'Stavební rozpočet'!D8</f>
      </c>
      <c r="E8" s="11"/>
      <c r="F8" s="11"/>
      <c r="G8" s="16" t="s">
        <v>17</v>
      </c>
      <c r="H8" s="16">
        <f>'Stavební rozpočet'!H8</f>
      </c>
      <c r="I8" s="16" t="s">
        <v>19</v>
      </c>
      <c r="J8" s="16">
        <f>'Stavební rozpočet'!J8</f>
      </c>
      <c r="K8" s="11"/>
      <c r="L8" s="14"/>
    </row>
    <row r="9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86"/>
    </row>
    <row r="10">
      <c r="A10" s="87" t="s">
        <v>4</v>
      </c>
      <c r="B10" s="88" t="s">
        <v>4</v>
      </c>
      <c r="C10" s="89"/>
      <c r="D10" s="89"/>
      <c r="E10" s="89"/>
      <c r="F10" s="89"/>
      <c r="G10" s="89"/>
      <c r="H10" s="89"/>
      <c r="I10" s="90"/>
      <c r="J10" s="29" t="s">
        <v>28</v>
      </c>
      <c r="K10" s="30"/>
      <c r="L10" s="31"/>
    </row>
    <row r="11">
      <c r="A11" s="91" t="s">
        <v>22</v>
      </c>
      <c r="B11" s="37" t="s">
        <v>617</v>
      </c>
      <c r="C11" s="92"/>
      <c r="D11" s="92"/>
      <c r="E11" s="92"/>
      <c r="F11" s="92"/>
      <c r="G11" s="92"/>
      <c r="H11" s="92"/>
      <c r="I11" s="93"/>
      <c r="J11" s="40" t="s">
        <v>35</v>
      </c>
      <c r="K11" s="41" t="s">
        <v>36</v>
      </c>
      <c r="L11" s="42" t="s">
        <v>37</v>
      </c>
    </row>
    <row r="12">
      <c r="A12" s="94" t="s">
        <v>52</v>
      </c>
      <c r="B12" s="95" t="s">
        <v>53</v>
      </c>
      <c r="C12" s="95"/>
      <c r="D12" s="95"/>
      <c r="E12" s="95"/>
      <c r="F12" s="95"/>
      <c r="G12" s="95"/>
      <c r="H12" s="95"/>
      <c r="I12" s="95"/>
      <c r="J12" s="96">
        <f>'Stavební rozpočet'!I12</f>
      </c>
      <c r="K12" s="96">
        <f>'Stavební rozpočet'!J12</f>
      </c>
      <c r="L12" s="97">
        <f>'Stavební rozpočet'!K12</f>
      </c>
      <c r="M12" s="98" t="s">
        <v>618</v>
      </c>
      <c r="N12" s="57">
        <f>IF(M12="F",0,L12)</f>
      </c>
      <c r="O12" s="11" t="s">
        <v>52</v>
      </c>
      <c r="P12" s="57">
        <f>IF(M12="T",0,L12)</f>
      </c>
    </row>
    <row r="13">
      <c r="A13" s="10" t="s">
        <v>220</v>
      </c>
      <c r="B13" s="11" t="s">
        <v>221</v>
      </c>
      <c r="C13" s="11"/>
      <c r="D13" s="11"/>
      <c r="E13" s="11"/>
      <c r="F13" s="11"/>
      <c r="G13" s="11"/>
      <c r="H13" s="11"/>
      <c r="I13" s="11"/>
      <c r="J13" s="57">
        <f>'Stavební rozpočet'!I92</f>
      </c>
      <c r="K13" s="57">
        <f>'Stavební rozpočet'!J92</f>
      </c>
      <c r="L13" s="99">
        <f>'Stavební rozpočet'!K92</f>
      </c>
      <c r="M13" s="98" t="s">
        <v>618</v>
      </c>
      <c r="N13" s="57">
        <f>IF(M13="F",0,L13)</f>
      </c>
      <c r="O13" s="11" t="s">
        <v>220</v>
      </c>
      <c r="P13" s="57">
        <f>IF(M13="T",0,L13)</f>
      </c>
    </row>
    <row r="14">
      <c r="A14" s="10" t="s">
        <v>299</v>
      </c>
      <c r="B14" s="11" t="s">
        <v>300</v>
      </c>
      <c r="C14" s="11"/>
      <c r="D14" s="11"/>
      <c r="E14" s="11"/>
      <c r="F14" s="11"/>
      <c r="G14" s="11"/>
      <c r="H14" s="11"/>
      <c r="I14" s="11"/>
      <c r="J14" s="57">
        <f>'Stavební rozpočet'!I182</f>
      </c>
      <c r="K14" s="57">
        <f>'Stavební rozpočet'!J182</f>
      </c>
      <c r="L14" s="99">
        <f>'Stavební rozpočet'!K182</f>
      </c>
      <c r="M14" s="98" t="s">
        <v>618</v>
      </c>
      <c r="N14" s="57">
        <f>IF(M14="F",0,L14)</f>
      </c>
      <c r="O14" s="11" t="s">
        <v>299</v>
      </c>
      <c r="P14" s="57">
        <f>IF(M14="T",0,L14)</f>
      </c>
    </row>
    <row r="15">
      <c r="A15" s="10" t="s">
        <v>358</v>
      </c>
      <c r="B15" s="11" t="s">
        <v>359</v>
      </c>
      <c r="C15" s="11"/>
      <c r="D15" s="11"/>
      <c r="E15" s="11"/>
      <c r="F15" s="11"/>
      <c r="G15" s="11"/>
      <c r="H15" s="11"/>
      <c r="I15" s="11"/>
      <c r="J15" s="57">
        <f>'Stavební rozpočet'!I258</f>
      </c>
      <c r="K15" s="57">
        <f>'Stavební rozpočet'!J258</f>
      </c>
      <c r="L15" s="99">
        <f>'Stavební rozpočet'!K258</f>
      </c>
      <c r="M15" s="98" t="s">
        <v>618</v>
      </c>
      <c r="N15" s="57">
        <f>IF(M15="F",0,L15)</f>
      </c>
      <c r="O15" s="11" t="s">
        <v>358</v>
      </c>
      <c r="P15" s="57">
        <f>IF(M15="T",0,L15)</f>
      </c>
    </row>
    <row r="16">
      <c r="A16" s="10" t="s">
        <v>557</v>
      </c>
      <c r="B16" s="11" t="s">
        <v>558</v>
      </c>
      <c r="C16" s="11"/>
      <c r="D16" s="11"/>
      <c r="E16" s="11"/>
      <c r="F16" s="11"/>
      <c r="G16" s="11"/>
      <c r="H16" s="11"/>
      <c r="I16" s="11"/>
      <c r="J16" s="57">
        <f>'Stavební rozpočet'!I402</f>
      </c>
      <c r="K16" s="57">
        <f>'Stavební rozpočet'!J402</f>
      </c>
      <c r="L16" s="99">
        <f>'Stavební rozpočet'!K402</f>
      </c>
      <c r="M16" s="98" t="s">
        <v>618</v>
      </c>
      <c r="N16" s="57">
        <f>IF(M16="F",0,L16)</f>
      </c>
      <c r="O16" s="11" t="s">
        <v>557</v>
      </c>
      <c r="P16" s="57">
        <f>IF(M16="T",0,L16)</f>
      </c>
    </row>
    <row r="17">
      <c r="A17" s="100" t="s">
        <v>607</v>
      </c>
      <c r="B17" s="101" t="s">
        <v>608</v>
      </c>
      <c r="C17" s="101"/>
      <c r="D17" s="101"/>
      <c r="E17" s="101"/>
      <c r="F17" s="101"/>
      <c r="G17" s="101"/>
      <c r="H17" s="101"/>
      <c r="I17" s="101"/>
      <c r="J17" s="102">
        <f>'Stavební rozpočet'!I430</f>
      </c>
      <c r="K17" s="102">
        <f>'Stavební rozpočet'!J430</f>
      </c>
      <c r="L17" s="103">
        <f>'Stavební rozpočet'!K430</f>
      </c>
      <c r="M17" s="98" t="s">
        <v>618</v>
      </c>
      <c r="N17" s="57">
        <f>IF(M17="F",0,L17)</f>
      </c>
      <c r="O17" s="11" t="s">
        <v>607</v>
      </c>
      <c r="P17" s="57">
        <f>IF(M17="T",0,L17)</f>
      </c>
    </row>
    <row r="18">
      <c r="J18" s="83" t="s">
        <v>614</v>
      </c>
      <c r="K18" s="83"/>
      <c r="L18" s="84">
        <f>SUM(P12:P17)</f>
      </c>
    </row>
    <row r="19">
      <c r="A19" s="85" t="s">
        <v>87</v>
      </c>
    </row>
    <row r="20" customHeight="true" ht="13.5">
      <c r="A20" s="16" t="s">
        <v>615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AF3"/>
  <mergeCells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H8:H9"/>
    <mergeCell ref="I2:I3"/>
    <mergeCell ref="I4:I5"/>
    <mergeCell ref="I6:I7"/>
    <mergeCell ref="I8:I9"/>
    <mergeCell ref="J2:L3"/>
    <mergeCell ref="J4:L5"/>
    <mergeCell ref="J6:L7"/>
    <mergeCell ref="J8:L9"/>
    <mergeCell ref="B10:I10"/>
    <mergeCell ref="B11:I11"/>
    <mergeCell ref="J10:L10"/>
    <mergeCell ref="B12:I12"/>
    <mergeCell ref="B13:I13"/>
    <mergeCell ref="B14:I14"/>
    <mergeCell ref="B15:I15"/>
    <mergeCell ref="B16:I16"/>
    <mergeCell ref="B17:I17"/>
    <mergeCell ref="J18:K18"/>
    <mergeCell ref="A20:L20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104" t="s">
        <v>619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rozpočet'!D2</f>
      </c>
      <c r="D2" s="6"/>
      <c r="E2" s="8" t="s">
        <v>5</v>
      </c>
      <c r="F2" s="8">
        <f>'Stavební rozpočet'!J2</f>
      </c>
      <c r="G2" s="4"/>
      <c r="H2" s="8" t="s">
        <v>620</v>
      </c>
      <c r="I2" s="9" t="s">
        <v>621</v>
      </c>
    </row>
    <row r="3" customHeight="true" ht="25.5">
      <c r="A3" s="10"/>
      <c r="B3" s="11"/>
      <c r="C3" s="12"/>
      <c r="D3" s="12"/>
      <c r="E3" s="11"/>
      <c r="F3" s="11"/>
      <c r="G3" s="11"/>
      <c r="H3" s="11"/>
      <c r="I3" s="14"/>
    </row>
    <row r="4">
      <c r="A4" s="15" t="s">
        <v>7</v>
      </c>
      <c r="B4" s="11"/>
      <c r="C4" s="16">
        <f>'Stavební rozpočet'!D4</f>
      </c>
      <c r="D4" s="11"/>
      <c r="E4" s="16" t="s">
        <v>9</v>
      </c>
      <c r="F4" s="16">
        <f>'Stavební rozpočet'!J4</f>
      </c>
      <c r="G4" s="11"/>
      <c r="H4" s="16" t="s">
        <v>620</v>
      </c>
      <c r="I4" s="14" t="s">
        <v>51</v>
      </c>
    </row>
    <row r="5" customHeight="true" ht="15">
      <c r="A5" s="10"/>
      <c r="B5" s="11"/>
      <c r="C5" s="11"/>
      <c r="D5" s="11"/>
      <c r="E5" s="11"/>
      <c r="F5" s="11"/>
      <c r="G5" s="11"/>
      <c r="H5" s="11"/>
      <c r="I5" s="14"/>
    </row>
    <row r="6">
      <c r="A6" s="15" t="s">
        <v>11</v>
      </c>
      <c r="B6" s="11"/>
      <c r="C6" s="16">
        <f>'Stavební rozpočet'!D6</f>
      </c>
      <c r="D6" s="11"/>
      <c r="E6" s="16" t="s">
        <v>14</v>
      </c>
      <c r="F6" s="16">
        <f>'Stavební rozpočet'!J6</f>
      </c>
      <c r="G6" s="11"/>
      <c r="H6" s="16" t="s">
        <v>620</v>
      </c>
      <c r="I6" s="14" t="s">
        <v>51</v>
      </c>
    </row>
    <row r="7" customHeight="true" ht="15">
      <c r="A7" s="10"/>
      <c r="B7" s="11"/>
      <c r="C7" s="11"/>
      <c r="D7" s="11"/>
      <c r="E7" s="11"/>
      <c r="F7" s="11"/>
      <c r="G7" s="11"/>
      <c r="H7" s="11"/>
      <c r="I7" s="14"/>
    </row>
    <row r="8">
      <c r="A8" s="15" t="s">
        <v>8</v>
      </c>
      <c r="B8" s="11"/>
      <c r="C8" s="16">
        <f>'Stavební rozpočet'!H4</f>
      </c>
      <c r="D8" s="11"/>
      <c r="E8" s="16" t="s">
        <v>13</v>
      </c>
      <c r="F8" s="16">
        <f>'Stavební rozpočet'!H6</f>
      </c>
      <c r="G8" s="11"/>
      <c r="H8" s="11" t="s">
        <v>622</v>
      </c>
      <c r="I8" s="105" t="n">
        <v>165</v>
      </c>
    </row>
    <row r="9">
      <c r="A9" s="10"/>
      <c r="B9" s="11"/>
      <c r="C9" s="11"/>
      <c r="D9" s="11"/>
      <c r="E9" s="11"/>
      <c r="F9" s="11"/>
      <c r="G9" s="11"/>
      <c r="H9" s="11"/>
      <c r="I9" s="14"/>
    </row>
    <row r="10">
      <c r="A10" s="15" t="s">
        <v>16</v>
      </c>
      <c r="B10" s="11"/>
      <c r="C10" s="16">
        <f>'Stavební rozpočet'!D8</f>
      </c>
      <c r="D10" s="11"/>
      <c r="E10" s="16" t="s">
        <v>19</v>
      </c>
      <c r="F10" s="16">
        <f>'Stavební rozpočet'!J8</f>
      </c>
      <c r="G10" s="11"/>
      <c r="H10" s="11" t="s">
        <v>623</v>
      </c>
      <c r="I10" s="106">
        <f>'Stavební rozpočet'!H8</f>
      </c>
    </row>
    <row r="11">
      <c r="A11" s="100"/>
      <c r="B11" s="101"/>
      <c r="C11" s="101"/>
      <c r="D11" s="101"/>
      <c r="E11" s="101"/>
      <c r="F11" s="101"/>
      <c r="G11" s="101"/>
      <c r="H11" s="101"/>
      <c r="I11" s="107"/>
    </row>
    <row r="12">
      <c r="A12" s="108" t="s">
        <v>624</v>
      </c>
      <c r="B12" s="108"/>
      <c r="C12" s="108"/>
      <c r="D12" s="108"/>
      <c r="E12" s="108"/>
      <c r="F12" s="108"/>
      <c r="G12" s="108"/>
      <c r="H12" s="108"/>
      <c r="I12" s="108"/>
    </row>
    <row r="13" customHeight="true" ht="26.25">
      <c r="A13" s="109" t="s">
        <v>625</v>
      </c>
      <c r="B13" s="110" t="s">
        <v>626</v>
      </c>
      <c r="C13" s="111"/>
      <c r="D13" s="112" t="s">
        <v>627</v>
      </c>
      <c r="E13" s="110" t="s">
        <v>628</v>
      </c>
      <c r="F13" s="111"/>
      <c r="G13" s="112" t="s">
        <v>629</v>
      </c>
      <c r="H13" s="110" t="s">
        <v>630</v>
      </c>
      <c r="I13" s="111"/>
    </row>
    <row r="14">
      <c r="A14" s="113" t="s">
        <v>631</v>
      </c>
      <c r="B14" s="114" t="s">
        <v>632</v>
      </c>
      <c r="C14" s="115">
        <f>SUM('Stavební rozpočet'!AB12:AB433)</f>
      </c>
      <c r="D14" s="116" t="s">
        <v>633</v>
      </c>
      <c r="E14" s="117"/>
      <c r="F14" s="115">
        <f>VORN!I15</f>
      </c>
      <c r="G14" s="116" t="s">
        <v>634</v>
      </c>
      <c r="H14" s="117"/>
      <c r="I14" s="118">
        <f>VORN!I21</f>
      </c>
    </row>
    <row r="15">
      <c r="A15" s="119" t="s">
        <v>51</v>
      </c>
      <c r="B15" s="114" t="s">
        <v>36</v>
      </c>
      <c r="C15" s="115">
        <f>SUM('Stavební rozpočet'!AC12:AC433)</f>
      </c>
      <c r="D15" s="116" t="s">
        <v>635</v>
      </c>
      <c r="E15" s="117"/>
      <c r="F15" s="115">
        <f>VORN!I16</f>
      </c>
      <c r="G15" s="116" t="s">
        <v>636</v>
      </c>
      <c r="H15" s="117"/>
      <c r="I15" s="118">
        <f>VORN!I22</f>
      </c>
    </row>
    <row r="16">
      <c r="A16" s="113" t="s">
        <v>637</v>
      </c>
      <c r="B16" s="114" t="s">
        <v>632</v>
      </c>
      <c r="C16" s="115">
        <f>SUM('Stavební rozpočet'!AD12:AD433)</f>
      </c>
      <c r="D16" s="116" t="s">
        <v>638</v>
      </c>
      <c r="E16" s="117"/>
      <c r="F16" s="115">
        <f>VORN!I17</f>
      </c>
      <c r="G16" s="116" t="s">
        <v>639</v>
      </c>
      <c r="H16" s="117"/>
      <c r="I16" s="118">
        <f>VORN!I23</f>
      </c>
    </row>
    <row r="17">
      <c r="A17" s="119" t="s">
        <v>51</v>
      </c>
      <c r="B17" s="114" t="s">
        <v>36</v>
      </c>
      <c r="C17" s="115">
        <f>SUM('Stavební rozpočet'!AE12:AE433)</f>
      </c>
      <c r="D17" s="116" t="s">
        <v>51</v>
      </c>
      <c r="E17" s="117"/>
      <c r="F17" s="118" t="s">
        <v>51</v>
      </c>
      <c r="G17" s="116" t="s">
        <v>640</v>
      </c>
      <c r="H17" s="117"/>
      <c r="I17" s="118">
        <f>VORN!I24</f>
      </c>
    </row>
    <row r="18">
      <c r="A18" s="113" t="s">
        <v>641</v>
      </c>
      <c r="B18" s="114" t="s">
        <v>632</v>
      </c>
      <c r="C18" s="115">
        <f>SUM('Stavební rozpočet'!AF12:AF433)</f>
      </c>
      <c r="D18" s="116" t="s">
        <v>51</v>
      </c>
      <c r="E18" s="117"/>
      <c r="F18" s="118" t="s">
        <v>51</v>
      </c>
      <c r="G18" s="116" t="s">
        <v>642</v>
      </c>
      <c r="H18" s="117"/>
      <c r="I18" s="118">
        <f>VORN!I25</f>
      </c>
    </row>
    <row r="19">
      <c r="A19" s="119" t="s">
        <v>51</v>
      </c>
      <c r="B19" s="114" t="s">
        <v>36</v>
      </c>
      <c r="C19" s="115">
        <f>SUM('Stavební rozpočet'!AG12:AG433)</f>
      </c>
      <c r="D19" s="116" t="s">
        <v>51</v>
      </c>
      <c r="E19" s="117"/>
      <c r="F19" s="118" t="s">
        <v>51</v>
      </c>
      <c r="G19" s="116" t="s">
        <v>643</v>
      </c>
      <c r="H19" s="117"/>
      <c r="I19" s="118">
        <f>VORN!I26</f>
      </c>
    </row>
    <row r="20">
      <c r="A20" s="120" t="s">
        <v>191</v>
      </c>
      <c r="B20" s="121"/>
      <c r="C20" s="115">
        <f>SUM('Stavební rozpočet'!AH12:AH433)</f>
      </c>
      <c r="D20" s="116" t="s">
        <v>51</v>
      </c>
      <c r="E20" s="117"/>
      <c r="F20" s="118" t="s">
        <v>51</v>
      </c>
      <c r="G20" s="116" t="s">
        <v>51</v>
      </c>
      <c r="H20" s="117"/>
      <c r="I20" s="118" t="s">
        <v>51</v>
      </c>
    </row>
    <row r="21">
      <c r="A21" s="122" t="s">
        <v>644</v>
      </c>
      <c r="B21" s="123"/>
      <c r="C21" s="124">
        <f>SUM('Stavební rozpočet'!Z12:Z433)</f>
      </c>
      <c r="D21" s="125" t="s">
        <v>51</v>
      </c>
      <c r="E21" s="126"/>
      <c r="F21" s="127" t="s">
        <v>51</v>
      </c>
      <c r="G21" s="125" t="s">
        <v>51</v>
      </c>
      <c r="H21" s="126"/>
      <c r="I21" s="127" t="s">
        <v>51</v>
      </c>
    </row>
    <row r="22" customHeight="true" ht="16.5">
      <c r="A22" s="128" t="s">
        <v>645</v>
      </c>
      <c r="B22" s="129"/>
      <c r="C22" s="130">
        <f>SUM(C14:C21)</f>
      </c>
      <c r="D22" s="131" t="s">
        <v>646</v>
      </c>
      <c r="E22" s="129"/>
      <c r="F22" s="130">
        <f>SUM(F14:F21)</f>
      </c>
      <c r="G22" s="131" t="s">
        <v>647</v>
      </c>
      <c r="H22" s="129"/>
      <c r="I22" s="130">
        <f>SUM(I14:I21)</f>
      </c>
    </row>
    <row r="23">
      <c r="D23" s="120" t="s">
        <v>648</v>
      </c>
      <c r="E23" s="121"/>
      <c r="F23" s="132" t="n">
        <v>0</v>
      </c>
      <c r="G23" s="133" t="s">
        <v>649</v>
      </c>
      <c r="H23" s="121"/>
      <c r="I23" s="115" t="n">
        <v>0</v>
      </c>
    </row>
    <row r="24">
      <c r="G24" s="120" t="s">
        <v>650</v>
      </c>
      <c r="H24" s="121"/>
      <c r="I24" s="124">
        <f>vorn_sum</f>
      </c>
    </row>
    <row r="25">
      <c r="G25" s="120" t="s">
        <v>651</v>
      </c>
      <c r="H25" s="121"/>
      <c r="I25" s="130" t="n">
        <v>0</v>
      </c>
    </row>
    <row r="27">
      <c r="A27" s="134" t="s">
        <v>652</v>
      </c>
      <c r="B27" s="135"/>
      <c r="C27" s="136">
        <f>SUM('Stavební rozpočet'!AJ12:AJ433)</f>
      </c>
    </row>
    <row r="28">
      <c r="A28" s="137" t="s">
        <v>653</v>
      </c>
      <c r="B28" s="138"/>
      <c r="C28" s="139">
        <f>SUM('Stavební rozpočet'!AK12:AK433)</f>
      </c>
      <c r="D28" s="140" t="s">
        <v>654</v>
      </c>
      <c r="E28" s="135"/>
      <c r="F28" s="136">
        <f>ROUND(C28*(12/100),2)</f>
      </c>
      <c r="G28" s="140" t="s">
        <v>655</v>
      </c>
      <c r="H28" s="135"/>
      <c r="I28" s="136">
        <f>SUM(C27:C29)</f>
      </c>
    </row>
    <row r="29">
      <c r="A29" s="137" t="s">
        <v>656</v>
      </c>
      <c r="B29" s="138"/>
      <c r="C29" s="139">
        <f>SUM('Stavební rozpočet'!AL12:AL433)+(F22+I22+F23+I23+I24+I25)</f>
      </c>
      <c r="D29" s="141" t="s">
        <v>657</v>
      </c>
      <c r="E29" s="138"/>
      <c r="F29" s="139">
        <f>ROUND(C29*(21/100),2)</f>
      </c>
      <c r="G29" s="141" t="s">
        <v>658</v>
      </c>
      <c r="H29" s="138"/>
      <c r="I29" s="139">
        <f>SUM(F28:F29)+I28</f>
      </c>
    </row>
    <row r="31">
      <c r="A31" s="142" t="s">
        <v>659</v>
      </c>
      <c r="B31" s="143"/>
      <c r="C31" s="144"/>
      <c r="D31" s="145" t="s">
        <v>660</v>
      </c>
      <c r="E31" s="143"/>
      <c r="F31" s="144"/>
      <c r="G31" s="145" t="s">
        <v>661</v>
      </c>
      <c r="H31" s="143"/>
      <c r="I31" s="144"/>
    </row>
    <row r="32">
      <c r="A32" s="146" t="s">
        <v>51</v>
      </c>
      <c r="B32" s="147"/>
      <c r="C32" s="148"/>
      <c r="D32" s="149" t="s">
        <v>51</v>
      </c>
      <c r="E32" s="147"/>
      <c r="F32" s="148"/>
      <c r="G32" s="149" t="s">
        <v>51</v>
      </c>
      <c r="H32" s="147"/>
      <c r="I32" s="148"/>
    </row>
    <row r="33">
      <c r="A33" s="146" t="s">
        <v>51</v>
      </c>
      <c r="B33" s="147"/>
      <c r="C33" s="148"/>
      <c r="D33" s="149" t="s">
        <v>51</v>
      </c>
      <c r="E33" s="147"/>
      <c r="F33" s="148"/>
      <c r="G33" s="149" t="s">
        <v>51</v>
      </c>
      <c r="H33" s="147"/>
      <c r="I33" s="148"/>
    </row>
    <row r="34">
      <c r="A34" s="146" t="s">
        <v>51</v>
      </c>
      <c r="B34" s="147"/>
      <c r="C34" s="148"/>
      <c r="D34" s="149" t="s">
        <v>51</v>
      </c>
      <c r="E34" s="147"/>
      <c r="F34" s="148"/>
      <c r="G34" s="149" t="s">
        <v>51</v>
      </c>
      <c r="H34" s="147"/>
      <c r="I34" s="148"/>
    </row>
    <row r="35">
      <c r="A35" s="150" t="s">
        <v>662</v>
      </c>
      <c r="B35" s="151"/>
      <c r="C35" s="152"/>
      <c r="D35" s="153" t="s">
        <v>662</v>
      </c>
      <c r="E35" s="151"/>
      <c r="F35" s="152"/>
      <c r="G35" s="153" t="s">
        <v>662</v>
      </c>
      <c r="H35" s="151"/>
      <c r="I35" s="152"/>
    </row>
    <row r="36">
      <c r="A36" s="154" t="s">
        <v>87</v>
      </c>
    </row>
    <row r="37" customHeight="true" ht="13.5">
      <c r="A37" s="16" t="s">
        <v>663</v>
      </c>
      <c r="B37" s="11"/>
      <c r="C37" s="11"/>
      <c r="D37" s="11"/>
      <c r="E37" s="11"/>
      <c r="F37" s="11"/>
      <c r="G37" s="11"/>
      <c r="H37" s="11"/>
      <c r="I37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AF3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6"/>
  <sheetViews>
    <sheetView workbookViewId="0" showZeros="true" showFormulas="false" showGridLines="true" showRowColHeaders="true">
      <selection sqref="A36:E36" activeCell="A36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104" t="s">
        <v>558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rozpočet'!D2</f>
      </c>
      <c r="D2" s="6"/>
      <c r="E2" s="8" t="s">
        <v>5</v>
      </c>
      <c r="F2" s="8">
        <f>'Stavební rozpočet'!J2</f>
      </c>
      <c r="G2" s="4"/>
      <c r="H2" s="8" t="s">
        <v>620</v>
      </c>
      <c r="I2" s="9" t="s">
        <v>621</v>
      </c>
    </row>
    <row r="3" customHeight="true" ht="25.5">
      <c r="A3" s="10"/>
      <c r="B3" s="11"/>
      <c r="C3" s="12"/>
      <c r="D3" s="12"/>
      <c r="E3" s="11"/>
      <c r="F3" s="11"/>
      <c r="G3" s="11"/>
      <c r="H3" s="11"/>
      <c r="I3" s="14"/>
    </row>
    <row r="4">
      <c r="A4" s="15" t="s">
        <v>7</v>
      </c>
      <c r="B4" s="11"/>
      <c r="C4" s="16">
        <f>'Stavební rozpočet'!D4</f>
      </c>
      <c r="D4" s="11"/>
      <c r="E4" s="16" t="s">
        <v>9</v>
      </c>
      <c r="F4" s="16">
        <f>'Stavební rozpočet'!J4</f>
      </c>
      <c r="G4" s="11"/>
      <c r="H4" s="16" t="s">
        <v>620</v>
      </c>
      <c r="I4" s="14" t="s">
        <v>51</v>
      </c>
    </row>
    <row r="5" customHeight="true" ht="15">
      <c r="A5" s="10"/>
      <c r="B5" s="11"/>
      <c r="C5" s="11"/>
      <c r="D5" s="11"/>
      <c r="E5" s="11"/>
      <c r="F5" s="11"/>
      <c r="G5" s="11"/>
      <c r="H5" s="11"/>
      <c r="I5" s="14"/>
    </row>
    <row r="6">
      <c r="A6" s="15" t="s">
        <v>11</v>
      </c>
      <c r="B6" s="11"/>
      <c r="C6" s="16">
        <f>'Stavební rozpočet'!D6</f>
      </c>
      <c r="D6" s="11"/>
      <c r="E6" s="16" t="s">
        <v>14</v>
      </c>
      <c r="F6" s="16">
        <f>'Stavební rozpočet'!J6</f>
      </c>
      <c r="G6" s="11"/>
      <c r="H6" s="16" t="s">
        <v>620</v>
      </c>
      <c r="I6" s="14" t="s">
        <v>51</v>
      </c>
    </row>
    <row r="7" customHeight="true" ht="15">
      <c r="A7" s="10"/>
      <c r="B7" s="11"/>
      <c r="C7" s="11"/>
      <c r="D7" s="11"/>
      <c r="E7" s="11"/>
      <c r="F7" s="11"/>
      <c r="G7" s="11"/>
      <c r="H7" s="11"/>
      <c r="I7" s="14"/>
    </row>
    <row r="8">
      <c r="A8" s="15" t="s">
        <v>8</v>
      </c>
      <c r="B8" s="11"/>
      <c r="C8" s="16">
        <f>'Stavební rozpočet'!H4</f>
      </c>
      <c r="D8" s="11"/>
      <c r="E8" s="16" t="s">
        <v>13</v>
      </c>
      <c r="F8" s="16">
        <f>'Stavební rozpočet'!H6</f>
      </c>
      <c r="G8" s="11"/>
      <c r="H8" s="11" t="s">
        <v>622</v>
      </c>
      <c r="I8" s="105" t="n">
        <v>165</v>
      </c>
    </row>
    <row r="9">
      <c r="A9" s="10"/>
      <c r="B9" s="11"/>
      <c r="C9" s="11"/>
      <c r="D9" s="11"/>
      <c r="E9" s="11"/>
      <c r="F9" s="11"/>
      <c r="G9" s="11"/>
      <c r="H9" s="11"/>
      <c r="I9" s="14"/>
    </row>
    <row r="10">
      <c r="A10" s="15" t="s">
        <v>16</v>
      </c>
      <c r="B10" s="11"/>
      <c r="C10" s="16">
        <f>'Stavební rozpočet'!D8</f>
      </c>
      <c r="D10" s="11"/>
      <c r="E10" s="16" t="s">
        <v>19</v>
      </c>
      <c r="F10" s="16">
        <f>'Stavební rozpočet'!J8</f>
      </c>
      <c r="G10" s="11"/>
      <c r="H10" s="11" t="s">
        <v>623</v>
      </c>
      <c r="I10" s="106">
        <f>'Stavební rozpočet'!H8</f>
      </c>
    </row>
    <row r="11">
      <c r="A11" s="100"/>
      <c r="B11" s="101"/>
      <c r="C11" s="101"/>
      <c r="D11" s="101"/>
      <c r="E11" s="101"/>
      <c r="F11" s="101"/>
      <c r="G11" s="101"/>
      <c r="H11" s="101"/>
      <c r="I11" s="107"/>
    </row>
    <row r="13">
      <c r="A13" s="155" t="s">
        <v>664</v>
      </c>
      <c r="B13" s="155"/>
      <c r="C13" s="155"/>
      <c r="D13" s="155"/>
      <c r="E13" s="155"/>
    </row>
    <row r="14">
      <c r="A14" s="156" t="s">
        <v>665</v>
      </c>
      <c r="B14" s="157"/>
      <c r="C14" s="157"/>
      <c r="D14" s="157"/>
      <c r="E14" s="158"/>
      <c r="F14" s="159" t="s">
        <v>666</v>
      </c>
      <c r="G14" s="159" t="s">
        <v>667</v>
      </c>
      <c r="H14" s="159" t="s">
        <v>668</v>
      </c>
      <c r="I14" s="159" t="s">
        <v>666</v>
      </c>
    </row>
    <row r="15">
      <c r="A15" s="160" t="s">
        <v>633</v>
      </c>
      <c r="B15" s="161"/>
      <c r="C15" s="161"/>
      <c r="D15" s="161"/>
      <c r="E15" s="162"/>
      <c r="F15" s="163" t="n">
        <v>0</v>
      </c>
      <c r="G15" s="164" t="s">
        <v>51</v>
      </c>
      <c r="H15" s="164" t="s">
        <v>51</v>
      </c>
      <c r="I15" s="163">
        <f>F15</f>
      </c>
    </row>
    <row r="16">
      <c r="A16" s="160" t="s">
        <v>635</v>
      </c>
      <c r="B16" s="161"/>
      <c r="C16" s="161"/>
      <c r="D16" s="161"/>
      <c r="E16" s="162"/>
      <c r="F16" s="163" t="n">
        <v>0</v>
      </c>
      <c r="G16" s="164" t="s">
        <v>51</v>
      </c>
      <c r="H16" s="164" t="s">
        <v>51</v>
      </c>
      <c r="I16" s="163">
        <f>F16</f>
      </c>
    </row>
    <row r="17">
      <c r="A17" s="165" t="s">
        <v>638</v>
      </c>
      <c r="B17" s="166"/>
      <c r="C17" s="166"/>
      <c r="D17" s="166"/>
      <c r="E17" s="167"/>
      <c r="F17" s="168" t="n">
        <v>0</v>
      </c>
      <c r="G17" s="169" t="s">
        <v>51</v>
      </c>
      <c r="H17" s="169" t="s">
        <v>51</v>
      </c>
      <c r="I17" s="168">
        <f>F17</f>
      </c>
    </row>
    <row r="18">
      <c r="A18" s="170" t="s">
        <v>669</v>
      </c>
      <c r="B18" s="171"/>
      <c r="C18" s="171"/>
      <c r="D18" s="171"/>
      <c r="E18" s="172"/>
      <c r="F18" s="173" t="s">
        <v>51</v>
      </c>
      <c r="G18" s="174" t="s">
        <v>51</v>
      </c>
      <c r="H18" s="174" t="s">
        <v>51</v>
      </c>
      <c r="I18" s="175">
        <f>SUM(I15:I17)</f>
      </c>
    </row>
    <row r="20">
      <c r="A20" s="156" t="s">
        <v>630</v>
      </c>
      <c r="B20" s="157"/>
      <c r="C20" s="157"/>
      <c r="D20" s="157"/>
      <c r="E20" s="158"/>
      <c r="F20" s="159" t="s">
        <v>666</v>
      </c>
      <c r="G20" s="159" t="s">
        <v>667</v>
      </c>
      <c r="H20" s="159" t="s">
        <v>668</v>
      </c>
      <c r="I20" s="159" t="s">
        <v>666</v>
      </c>
    </row>
    <row r="21">
      <c r="A21" s="160" t="s">
        <v>634</v>
      </c>
      <c r="B21" s="161"/>
      <c r="C21" s="161"/>
      <c r="D21" s="161"/>
      <c r="E21" s="162"/>
      <c r="F21" s="163" t="n">
        <v>0</v>
      </c>
      <c r="G21" s="164" t="s">
        <v>51</v>
      </c>
      <c r="H21" s="164" t="s">
        <v>51</v>
      </c>
      <c r="I21" s="163">
        <f>F21</f>
      </c>
    </row>
    <row r="22">
      <c r="A22" s="160" t="s">
        <v>636</v>
      </c>
      <c r="B22" s="161"/>
      <c r="C22" s="161"/>
      <c r="D22" s="161"/>
      <c r="E22" s="162"/>
      <c r="F22" s="163" t="n">
        <v>0</v>
      </c>
      <c r="G22" s="164" t="s">
        <v>51</v>
      </c>
      <c r="H22" s="164" t="s">
        <v>51</v>
      </c>
      <c r="I22" s="163">
        <f>F22</f>
      </c>
    </row>
    <row r="23">
      <c r="A23" s="160" t="s">
        <v>639</v>
      </c>
      <c r="B23" s="161"/>
      <c r="C23" s="161"/>
      <c r="D23" s="161"/>
      <c r="E23" s="162"/>
      <c r="F23" s="163" t="n">
        <v>0</v>
      </c>
      <c r="G23" s="164" t="s">
        <v>51</v>
      </c>
      <c r="H23" s="164" t="s">
        <v>51</v>
      </c>
      <c r="I23" s="163">
        <f>F23</f>
      </c>
    </row>
    <row r="24">
      <c r="A24" s="160" t="s">
        <v>640</v>
      </c>
      <c r="B24" s="161"/>
      <c r="C24" s="161"/>
      <c r="D24" s="161"/>
      <c r="E24" s="162"/>
      <c r="F24" s="163" t="n">
        <v>0</v>
      </c>
      <c r="G24" s="164" t="s">
        <v>51</v>
      </c>
      <c r="H24" s="164" t="s">
        <v>51</v>
      </c>
      <c r="I24" s="163">
        <f>F24</f>
      </c>
    </row>
    <row r="25">
      <c r="A25" s="160" t="s">
        <v>642</v>
      </c>
      <c r="B25" s="161"/>
      <c r="C25" s="161"/>
      <c r="D25" s="161"/>
      <c r="E25" s="162"/>
      <c r="F25" s="163" t="n">
        <v>0</v>
      </c>
      <c r="G25" s="164" t="s">
        <v>51</v>
      </c>
      <c r="H25" s="164" t="s">
        <v>51</v>
      </c>
      <c r="I25" s="163">
        <f>F25</f>
      </c>
    </row>
    <row r="26">
      <c r="A26" s="165" t="s">
        <v>643</v>
      </c>
      <c r="B26" s="166"/>
      <c r="C26" s="166"/>
      <c r="D26" s="166"/>
      <c r="E26" s="167"/>
      <c r="F26" s="168" t="n">
        <v>0</v>
      </c>
      <c r="G26" s="169" t="s">
        <v>51</v>
      </c>
      <c r="H26" s="169" t="s">
        <v>51</v>
      </c>
      <c r="I26" s="168">
        <f>F26</f>
      </c>
    </row>
    <row r="27">
      <c r="A27" s="170" t="s">
        <v>670</v>
      </c>
      <c r="B27" s="171"/>
      <c r="C27" s="171"/>
      <c r="D27" s="171"/>
      <c r="E27" s="172"/>
      <c r="F27" s="173" t="s">
        <v>51</v>
      </c>
      <c r="G27" s="174" t="s">
        <v>51</v>
      </c>
      <c r="H27" s="174" t="s">
        <v>51</v>
      </c>
      <c r="I27" s="175">
        <f>SUM(I21:I26)</f>
      </c>
    </row>
    <row r="29">
      <c r="A29" s="176" t="s">
        <v>671</v>
      </c>
      <c r="B29" s="177"/>
      <c r="C29" s="177"/>
      <c r="D29" s="177"/>
      <c r="E29" s="178"/>
      <c r="F29" s="179">
        <f>I18+I27</f>
      </c>
      <c r="G29" s="180"/>
      <c r="H29" s="180"/>
      <c r="I29" s="181"/>
    </row>
    <row r="33">
      <c r="A33" s="155" t="s">
        <v>672</v>
      </c>
      <c r="B33" s="155"/>
      <c r="C33" s="155"/>
      <c r="D33" s="155"/>
      <c r="E33" s="155"/>
    </row>
    <row r="34">
      <c r="A34" s="156" t="s">
        <v>673</v>
      </c>
      <c r="B34" s="157"/>
      <c r="C34" s="157"/>
      <c r="D34" s="157"/>
      <c r="E34" s="158"/>
      <c r="F34" s="159" t="s">
        <v>666</v>
      </c>
      <c r="G34" s="159" t="s">
        <v>667</v>
      </c>
      <c r="H34" s="159" t="s">
        <v>668</v>
      </c>
      <c r="I34" s="159" t="s">
        <v>666</v>
      </c>
    </row>
    <row r="35">
      <c r="A35" s="165" t="s">
        <v>51</v>
      </c>
      <c r="B35" s="166"/>
      <c r="C35" s="166"/>
      <c r="D35" s="166"/>
      <c r="E35" s="167"/>
      <c r="F35" s="168" t="n">
        <v>0</v>
      </c>
      <c r="G35" s="169" t="s">
        <v>51</v>
      </c>
      <c r="H35" s="169" t="s">
        <v>51</v>
      </c>
      <c r="I35" s="168">
        <f>F35</f>
      </c>
    </row>
    <row r="36">
      <c r="A36" s="170" t="s">
        <v>674</v>
      </c>
      <c r="B36" s="171"/>
      <c r="C36" s="171"/>
      <c r="D36" s="171"/>
      <c r="E36" s="172"/>
      <c r="F36" s="173" t="s">
        <v>51</v>
      </c>
      <c r="G36" s="174" t="s">
        <v>51</v>
      </c>
      <c r="H36" s="174" t="s">
        <v>51</v>
      </c>
      <c r="I36" s="175">
        <f>SUM(I35:I35)</f>
      </c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AF3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