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6\Opravy komunikací 2026\Kosovská\"/>
    </mc:Choice>
  </mc:AlternateContent>
  <bookViews>
    <workbookView xWindow="-120" yWindow="-120" windowWidth="33036" windowHeight="14172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F74" i="1" l="1"/>
  <c r="F73" i="1"/>
  <c r="F72" i="1"/>
  <c r="BJ38" i="1"/>
  <c r="BF38" i="1"/>
  <c r="BD38" i="1"/>
  <c r="AP38" i="1"/>
  <c r="BI38" i="1" s="1"/>
  <c r="AC38" i="1" s="1"/>
  <c r="AO38" i="1"/>
  <c r="BH38" i="1" s="1"/>
  <c r="AB38" i="1" s="1"/>
  <c r="AL38" i="1"/>
  <c r="AK38" i="1"/>
  <c r="AJ38" i="1"/>
  <c r="AH38" i="1"/>
  <c r="AG38" i="1"/>
  <c r="AF38" i="1"/>
  <c r="AE38" i="1"/>
  <c r="AD38" i="1"/>
  <c r="Z38" i="1"/>
  <c r="L38" i="1"/>
  <c r="J38" i="1"/>
  <c r="I38" i="1"/>
  <c r="AW38" i="1" l="1"/>
  <c r="AX38" i="1"/>
  <c r="BC38" i="1" l="1"/>
  <c r="AV38" i="1"/>
  <c r="BC74" i="1" l="1"/>
  <c r="AO74" i="1"/>
  <c r="AN74" i="1"/>
  <c r="AJ74" i="1"/>
  <c r="AI74" i="1"/>
  <c r="AG74" i="1"/>
  <c r="AF74" i="1"/>
  <c r="AE74" i="1"/>
  <c r="AD74" i="1"/>
  <c r="AC74" i="1"/>
  <c r="AB74" i="1"/>
  <c r="AA74" i="1"/>
  <c r="BI74" i="1"/>
  <c r="Y74" i="1" s="1"/>
  <c r="BC73" i="1"/>
  <c r="AO73" i="1"/>
  <c r="AN73" i="1"/>
  <c r="AJ73" i="1"/>
  <c r="AI73" i="1"/>
  <c r="AG73" i="1"/>
  <c r="AF73" i="1"/>
  <c r="AE73" i="1"/>
  <c r="AD73" i="1"/>
  <c r="AC73" i="1"/>
  <c r="AB73" i="1"/>
  <c r="AA73" i="1"/>
  <c r="BI73" i="1"/>
  <c r="Y73" i="1" s="1"/>
  <c r="BC72" i="1"/>
  <c r="AO72" i="1"/>
  <c r="AN72" i="1"/>
  <c r="AJ72" i="1"/>
  <c r="AI72" i="1"/>
  <c r="AG72" i="1"/>
  <c r="AF72" i="1"/>
  <c r="AE72" i="1"/>
  <c r="AD72" i="1"/>
  <c r="AC72" i="1"/>
  <c r="AB72" i="1"/>
  <c r="AA72" i="1"/>
  <c r="BI72" i="1"/>
  <c r="Y72" i="1" s="1"/>
  <c r="BI37" i="1"/>
  <c r="BC37" i="1"/>
  <c r="AO37" i="1"/>
  <c r="AW37" i="1" s="1"/>
  <c r="AN37" i="1"/>
  <c r="BG37" i="1" s="1"/>
  <c r="AA37" i="1" s="1"/>
  <c r="AJ37" i="1"/>
  <c r="AI37" i="1"/>
  <c r="AG37" i="1"/>
  <c r="AF37" i="1"/>
  <c r="AE37" i="1"/>
  <c r="AD37" i="1"/>
  <c r="AC37" i="1"/>
  <c r="Y37" i="1"/>
  <c r="L37" i="1"/>
  <c r="BE37" i="1" s="1"/>
  <c r="J37" i="1"/>
  <c r="AK37" i="1" s="1"/>
  <c r="BI55" i="1"/>
  <c r="BC55" i="1"/>
  <c r="AO55" i="1"/>
  <c r="BH55" i="1" s="1"/>
  <c r="AB55" i="1" s="1"/>
  <c r="AN55" i="1"/>
  <c r="BG55" i="1" s="1"/>
  <c r="AA55" i="1" s="1"/>
  <c r="AJ55" i="1"/>
  <c r="AI55" i="1"/>
  <c r="AG55" i="1"/>
  <c r="AF55" i="1"/>
  <c r="AE55" i="1"/>
  <c r="AD55" i="1"/>
  <c r="AC55" i="1"/>
  <c r="Y55" i="1"/>
  <c r="L55" i="1"/>
  <c r="BE55" i="1" s="1"/>
  <c r="J55" i="1"/>
  <c r="AK55" i="1" s="1"/>
  <c r="BI53" i="1"/>
  <c r="BC53" i="1"/>
  <c r="AO53" i="1"/>
  <c r="AW53" i="1" s="1"/>
  <c r="AN53" i="1"/>
  <c r="AV53" i="1" s="1"/>
  <c r="AJ53" i="1"/>
  <c r="AI53" i="1"/>
  <c r="AG53" i="1"/>
  <c r="AF53" i="1"/>
  <c r="AE53" i="1"/>
  <c r="AD53" i="1"/>
  <c r="AC53" i="1"/>
  <c r="Y53" i="1"/>
  <c r="L53" i="1"/>
  <c r="BE53" i="1" s="1"/>
  <c r="J53" i="1"/>
  <c r="AK53" i="1" s="1"/>
  <c r="BI51" i="1"/>
  <c r="BC51" i="1"/>
  <c r="AO51" i="1"/>
  <c r="BH51" i="1" s="1"/>
  <c r="AB51" i="1" s="1"/>
  <c r="AN51" i="1"/>
  <c r="BG51" i="1" s="1"/>
  <c r="AA51" i="1" s="1"/>
  <c r="AJ51" i="1"/>
  <c r="AI51" i="1"/>
  <c r="AG51" i="1"/>
  <c r="AF51" i="1"/>
  <c r="AE51" i="1"/>
  <c r="AD51" i="1"/>
  <c r="AC51" i="1"/>
  <c r="Y51" i="1"/>
  <c r="L51" i="1"/>
  <c r="BE51" i="1" s="1"/>
  <c r="J51" i="1"/>
  <c r="AK51" i="1" s="1"/>
  <c r="BI50" i="1"/>
  <c r="BC50" i="1"/>
  <c r="AO50" i="1"/>
  <c r="BH50" i="1" s="1"/>
  <c r="AB50" i="1" s="1"/>
  <c r="AN50" i="1"/>
  <c r="AV50" i="1" s="1"/>
  <c r="AJ50" i="1"/>
  <c r="AI50" i="1"/>
  <c r="AG50" i="1"/>
  <c r="AF50" i="1"/>
  <c r="AE50" i="1"/>
  <c r="AD50" i="1"/>
  <c r="AC50" i="1"/>
  <c r="Y50" i="1"/>
  <c r="L50" i="1"/>
  <c r="BE50" i="1" s="1"/>
  <c r="J50" i="1"/>
  <c r="AK50" i="1" s="1"/>
  <c r="BH74" i="1" l="1"/>
  <c r="H74" i="1"/>
  <c r="AV74" i="1"/>
  <c r="I74" i="1"/>
  <c r="AW74" i="1"/>
  <c r="J74" i="1"/>
  <c r="AK74" i="1" s="1"/>
  <c r="L74" i="1"/>
  <c r="BE74" i="1" s="1"/>
  <c r="BG74" i="1"/>
  <c r="H73" i="1"/>
  <c r="AV73" i="1"/>
  <c r="I73" i="1"/>
  <c r="AW73" i="1"/>
  <c r="J73" i="1"/>
  <c r="AK73" i="1" s="1"/>
  <c r="L73" i="1"/>
  <c r="BE73" i="1" s="1"/>
  <c r="BG73" i="1"/>
  <c r="BH73" i="1"/>
  <c r="H72" i="1"/>
  <c r="AW72" i="1"/>
  <c r="BG72" i="1"/>
  <c r="AV72" i="1"/>
  <c r="I72" i="1"/>
  <c r="J72" i="1"/>
  <c r="AK72" i="1" s="1"/>
  <c r="L72" i="1"/>
  <c r="BE72" i="1" s="1"/>
  <c r="BH72" i="1"/>
  <c r="BG53" i="1"/>
  <c r="AA53" i="1" s="1"/>
  <c r="BH53" i="1"/>
  <c r="AB53" i="1" s="1"/>
  <c r="AV37" i="1"/>
  <c r="I37" i="1"/>
  <c r="BH37" i="1"/>
  <c r="AB37" i="1" s="1"/>
  <c r="H37" i="1"/>
  <c r="BG50" i="1"/>
  <c r="AA50" i="1" s="1"/>
  <c r="AW50" i="1"/>
  <c r="BB50" i="1" s="1"/>
  <c r="I50" i="1"/>
  <c r="H55" i="1"/>
  <c r="AV55" i="1"/>
  <c r="I55" i="1"/>
  <c r="AW55" i="1"/>
  <c r="BB53" i="1"/>
  <c r="AU53" i="1"/>
  <c r="H51" i="1"/>
  <c r="AV51" i="1"/>
  <c r="I51" i="1"/>
  <c r="AW51" i="1"/>
  <c r="H53" i="1"/>
  <c r="I53" i="1"/>
  <c r="H50" i="1"/>
  <c r="BB74" i="1" l="1"/>
  <c r="AU74" i="1"/>
  <c r="BB73" i="1"/>
  <c r="AU73" i="1"/>
  <c r="BB72" i="1"/>
  <c r="AU72" i="1"/>
  <c r="AU50" i="1"/>
  <c r="BB37" i="1"/>
  <c r="AU37" i="1"/>
  <c r="BB55" i="1"/>
  <c r="AU55" i="1"/>
  <c r="BB51" i="1"/>
  <c r="AU51" i="1"/>
  <c r="L33" i="1" l="1"/>
  <c r="J33" i="1"/>
  <c r="I33" i="1"/>
  <c r="H33" i="1"/>
  <c r="I58" i="1" l="1"/>
  <c r="I57" i="1"/>
  <c r="H58" i="1"/>
  <c r="H57" i="1"/>
  <c r="L58" i="1" l="1"/>
  <c r="J58" i="1"/>
  <c r="G15" i="2" l="1"/>
  <c r="BI44" i="1"/>
  <c r="BC44" i="1"/>
  <c r="AO44" i="1"/>
  <c r="BH44" i="1" s="1"/>
  <c r="AB44" i="1" s="1"/>
  <c r="AN44" i="1"/>
  <c r="BG44" i="1" s="1"/>
  <c r="AA44" i="1" s="1"/>
  <c r="AJ44" i="1"/>
  <c r="AI44" i="1"/>
  <c r="AG44" i="1"/>
  <c r="AF44" i="1"/>
  <c r="AE44" i="1"/>
  <c r="AD44" i="1"/>
  <c r="AC44" i="1"/>
  <c r="Y44" i="1"/>
  <c r="L44" i="1"/>
  <c r="BE44" i="1" s="1"/>
  <c r="J44" i="1"/>
  <c r="AK44" i="1" s="1"/>
  <c r="L35" i="1"/>
  <c r="J35" i="1"/>
  <c r="I35" i="1" s="1"/>
  <c r="H35" i="1"/>
  <c r="AV44" i="1" l="1"/>
  <c r="AW44" i="1"/>
  <c r="H44" i="1"/>
  <c r="I44" i="1"/>
  <c r="J48" i="1"/>
  <c r="I48" i="1"/>
  <c r="H48" i="1"/>
  <c r="L57" i="1"/>
  <c r="J57" i="1"/>
  <c r="J56" i="1" s="1"/>
  <c r="F15" i="2" s="1"/>
  <c r="I56" i="1"/>
  <c r="E15" i="2" s="1"/>
  <c r="H56" i="1"/>
  <c r="D15" i="2" s="1"/>
  <c r="BB44" i="1" l="1"/>
  <c r="AU44" i="1"/>
  <c r="L31" i="1"/>
  <c r="L30" i="1" s="1"/>
  <c r="F69" i="1" s="1"/>
  <c r="F70" i="1" s="1"/>
  <c r="C2" i="5" l="1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I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1" i="1"/>
  <c r="J30" i="1" s="1"/>
  <c r="BE31" i="1"/>
  <c r="Y31" i="1"/>
  <c r="AC31" i="1"/>
  <c r="AD31" i="1"/>
  <c r="AE31" i="1"/>
  <c r="AF31" i="1"/>
  <c r="AG31" i="1"/>
  <c r="AI31" i="1"/>
  <c r="AJ31" i="1"/>
  <c r="AN31" i="1"/>
  <c r="H31" i="1" s="1"/>
  <c r="AO31" i="1"/>
  <c r="BH31" i="1" s="1"/>
  <c r="AB31" i="1" s="1"/>
  <c r="BC31" i="1"/>
  <c r="BI31" i="1"/>
  <c r="J41" i="1"/>
  <c r="L41" i="1"/>
  <c r="L40" i="1" s="1"/>
  <c r="Y41" i="1"/>
  <c r="AC41" i="1"/>
  <c r="AD41" i="1"/>
  <c r="AE41" i="1"/>
  <c r="AF41" i="1"/>
  <c r="AG41" i="1"/>
  <c r="AI41" i="1"/>
  <c r="AJ41" i="1"/>
  <c r="AN41" i="1"/>
  <c r="BG41" i="1" s="1"/>
  <c r="AA41" i="1" s="1"/>
  <c r="AO41" i="1"/>
  <c r="I41" i="1" s="1"/>
  <c r="BC41" i="1"/>
  <c r="BI41" i="1"/>
  <c r="J46" i="1"/>
  <c r="L46" i="1"/>
  <c r="BE46" i="1" s="1"/>
  <c r="Y46" i="1"/>
  <c r="AC46" i="1"/>
  <c r="AD46" i="1"/>
  <c r="AE46" i="1"/>
  <c r="AF46" i="1"/>
  <c r="AG46" i="1"/>
  <c r="AI46" i="1"/>
  <c r="AJ46" i="1"/>
  <c r="AN46" i="1"/>
  <c r="BG46" i="1" s="1"/>
  <c r="AA46" i="1" s="1"/>
  <c r="AO46" i="1"/>
  <c r="BH46" i="1" s="1"/>
  <c r="AB46" i="1" s="1"/>
  <c r="BC46" i="1"/>
  <c r="BI46" i="1"/>
  <c r="J61" i="1"/>
  <c r="L61" i="1"/>
  <c r="BE61" i="1" s="1"/>
  <c r="Y61" i="1"/>
  <c r="AC61" i="1"/>
  <c r="AD61" i="1"/>
  <c r="AE61" i="1"/>
  <c r="AF61" i="1"/>
  <c r="AG61" i="1"/>
  <c r="AI61" i="1"/>
  <c r="AJ61" i="1"/>
  <c r="AN61" i="1"/>
  <c r="BG61" i="1" s="1"/>
  <c r="AA61" i="1" s="1"/>
  <c r="AO61" i="1"/>
  <c r="BH61" i="1" s="1"/>
  <c r="AB61" i="1" s="1"/>
  <c r="BC61" i="1"/>
  <c r="BI61" i="1"/>
  <c r="AA66" i="1"/>
  <c r="AB66" i="1"/>
  <c r="AC66" i="1"/>
  <c r="AD66" i="1"/>
  <c r="AE66" i="1"/>
  <c r="AF66" i="1"/>
  <c r="AG66" i="1"/>
  <c r="AI66" i="1"/>
  <c r="AR65" i="1" s="1"/>
  <c r="AJ66" i="1"/>
  <c r="AS65" i="1" s="1"/>
  <c r="AN66" i="1"/>
  <c r="AO66" i="1"/>
  <c r="BC66" i="1"/>
  <c r="J69" i="1"/>
  <c r="L69" i="1"/>
  <c r="BE69" i="1" s="1"/>
  <c r="AA69" i="1"/>
  <c r="AB69" i="1"/>
  <c r="AC69" i="1"/>
  <c r="AD69" i="1"/>
  <c r="AE69" i="1"/>
  <c r="AF69" i="1"/>
  <c r="AG69" i="1"/>
  <c r="AI69" i="1"/>
  <c r="AJ69" i="1"/>
  <c r="AN69" i="1"/>
  <c r="BG69" i="1" s="1"/>
  <c r="AO69" i="1"/>
  <c r="I69" i="1" s="1"/>
  <c r="BC69" i="1"/>
  <c r="BI69" i="1"/>
  <c r="Y69" i="1" s="1"/>
  <c r="J70" i="1"/>
  <c r="L70" i="1"/>
  <c r="BE70" i="1" s="1"/>
  <c r="AA70" i="1"/>
  <c r="AB70" i="1"/>
  <c r="AC70" i="1"/>
  <c r="AD70" i="1"/>
  <c r="AE70" i="1"/>
  <c r="AF70" i="1"/>
  <c r="AG70" i="1"/>
  <c r="AI70" i="1"/>
  <c r="AJ70" i="1"/>
  <c r="AN70" i="1"/>
  <c r="BG70" i="1" s="1"/>
  <c r="AO70" i="1"/>
  <c r="BH70" i="1" s="1"/>
  <c r="BC70" i="1"/>
  <c r="BI70" i="1"/>
  <c r="Y70" i="1" s="1"/>
  <c r="B2" i="2"/>
  <c r="E2" i="2"/>
  <c r="B4" i="2"/>
  <c r="E4" i="2"/>
  <c r="B6" i="2"/>
  <c r="E6" i="2"/>
  <c r="B8" i="2"/>
  <c r="E8" i="2"/>
  <c r="F66" i="1" l="1"/>
  <c r="BG66" i="1" s="1"/>
  <c r="BI66" i="1"/>
  <c r="Y66" i="1" s="1"/>
  <c r="L66" i="1"/>
  <c r="BE66" i="1" s="1"/>
  <c r="BH66" i="1"/>
  <c r="H66" i="1"/>
  <c r="H65" i="1" s="1"/>
  <c r="D17" i="2" s="1"/>
  <c r="J40" i="1"/>
  <c r="F14" i="2" s="1"/>
  <c r="J12" i="1"/>
  <c r="BE41" i="1"/>
  <c r="G14" i="2"/>
  <c r="AK19" i="1"/>
  <c r="BH13" i="1"/>
  <c r="AB13" i="1" s="1"/>
  <c r="AS40" i="1"/>
  <c r="AK69" i="1"/>
  <c r="H69" i="1"/>
  <c r="AS68" i="1"/>
  <c r="AV69" i="1"/>
  <c r="AW41" i="1"/>
  <c r="AK13" i="1"/>
  <c r="AW66" i="1"/>
  <c r="AR60" i="1"/>
  <c r="I61" i="1"/>
  <c r="I60" i="1" s="1"/>
  <c r="E16" i="2" s="1"/>
  <c r="H25" i="1"/>
  <c r="BH19" i="1"/>
  <c r="AB19" i="1" s="1"/>
  <c r="AS30" i="1"/>
  <c r="BG17" i="1"/>
  <c r="AA17" i="1" s="1"/>
  <c r="BG15" i="1"/>
  <c r="AA15" i="1" s="1"/>
  <c r="I15" i="1"/>
  <c r="AW61" i="1"/>
  <c r="AR30" i="1"/>
  <c r="BG25" i="1"/>
  <c r="AA25" i="1" s="1"/>
  <c r="AW19" i="1"/>
  <c r="AK21" i="1"/>
  <c r="AV17" i="1"/>
  <c r="AU17" i="1" s="1"/>
  <c r="AW15" i="1"/>
  <c r="AW69" i="1"/>
  <c r="AV15" i="1"/>
  <c r="C28" i="5"/>
  <c r="F28" i="5" s="1"/>
  <c r="AK70" i="1"/>
  <c r="AK46" i="1"/>
  <c r="AV41" i="1"/>
  <c r="AW31" i="1"/>
  <c r="AK28" i="1"/>
  <c r="AT27" i="1" s="1"/>
  <c r="AW23" i="1"/>
  <c r="AW21" i="1"/>
  <c r="BG13" i="1"/>
  <c r="AA13" i="1" s="1"/>
  <c r="C27" i="5"/>
  <c r="J60" i="1"/>
  <c r="F16" i="2" s="1"/>
  <c r="I16" i="2" s="1"/>
  <c r="BH17" i="1"/>
  <c r="AB17" i="1" s="1"/>
  <c r="AR12" i="1"/>
  <c r="H46" i="1"/>
  <c r="AK41" i="1"/>
  <c r="I17" i="1"/>
  <c r="L12" i="1"/>
  <c r="G11" i="2" s="1"/>
  <c r="AW13" i="1"/>
  <c r="BB13" i="1" s="1"/>
  <c r="C18" i="5"/>
  <c r="H70" i="1"/>
  <c r="F13" i="2"/>
  <c r="BE28" i="1"/>
  <c r="C19" i="5"/>
  <c r="C17" i="5"/>
  <c r="I23" i="1"/>
  <c r="C16" i="5"/>
  <c r="AV46" i="1"/>
  <c r="BH41" i="1"/>
  <c r="AB41" i="1" s="1"/>
  <c r="AR40" i="1"/>
  <c r="I31" i="1"/>
  <c r="BH69" i="1"/>
  <c r="AR68" i="1"/>
  <c r="AS60" i="1"/>
  <c r="H41" i="1"/>
  <c r="G13" i="2"/>
  <c r="C20" i="5"/>
  <c r="I21" i="1"/>
  <c r="H30" i="1"/>
  <c r="D13" i="2" s="1"/>
  <c r="AW70" i="1"/>
  <c r="AW46" i="1"/>
  <c r="AK31" i="1"/>
  <c r="AV19" i="1"/>
  <c r="BE15" i="1"/>
  <c r="H13" i="1"/>
  <c r="AV70" i="1"/>
  <c r="L68" i="1"/>
  <c r="G18" i="2" s="1"/>
  <c r="BH28" i="1"/>
  <c r="AB28" i="1" s="1"/>
  <c r="I70" i="1"/>
  <c r="I68" i="1" s="1"/>
  <c r="E18" i="2" s="1"/>
  <c r="J68" i="1"/>
  <c r="F18" i="2" s="1"/>
  <c r="I18" i="2" s="1"/>
  <c r="AV61" i="1"/>
  <c r="I46" i="1"/>
  <c r="I40" i="1" s="1"/>
  <c r="BG28" i="1"/>
  <c r="AA28" i="1" s="1"/>
  <c r="BH25" i="1"/>
  <c r="AB25" i="1" s="1"/>
  <c r="AV23" i="1"/>
  <c r="H19" i="1"/>
  <c r="AS12" i="1"/>
  <c r="H61" i="1"/>
  <c r="H60" i="1" s="1"/>
  <c r="H23" i="1"/>
  <c r="AK61" i="1"/>
  <c r="AW28" i="1"/>
  <c r="AK23" i="1"/>
  <c r="BG31" i="1"/>
  <c r="AA31" i="1" s="1"/>
  <c r="AV28" i="1"/>
  <c r="AW25" i="1"/>
  <c r="AU25" i="1" s="1"/>
  <c r="BG21" i="1"/>
  <c r="AA21" i="1" s="1"/>
  <c r="L60" i="1"/>
  <c r="G16" i="2" s="1"/>
  <c r="AV31" i="1"/>
  <c r="AV21" i="1"/>
  <c r="I66" i="1" l="1"/>
  <c r="I65" i="1" s="1"/>
  <c r="E17" i="2" s="1"/>
  <c r="J66" i="1"/>
  <c r="AV66" i="1"/>
  <c r="L65" i="1"/>
  <c r="G17" i="2" s="1"/>
  <c r="H40" i="1"/>
  <c r="D14" i="2" s="1"/>
  <c r="I13" i="2"/>
  <c r="I30" i="1"/>
  <c r="E13" i="2" s="1"/>
  <c r="C21" i="5"/>
  <c r="BB69" i="1"/>
  <c r="BB46" i="1"/>
  <c r="BB17" i="1"/>
  <c r="BB15" i="1"/>
  <c r="AT68" i="1"/>
  <c r="BB41" i="1"/>
  <c r="AT40" i="1"/>
  <c r="D16" i="2"/>
  <c r="AU41" i="1"/>
  <c r="H68" i="1"/>
  <c r="D18" i="2" s="1"/>
  <c r="I12" i="1"/>
  <c r="E11" i="2" s="1"/>
  <c r="AU13" i="1"/>
  <c r="AT12" i="1"/>
  <c r="AU69" i="1"/>
  <c r="AT30" i="1"/>
  <c r="AU15" i="1"/>
  <c r="AT60" i="1"/>
  <c r="BB25" i="1"/>
  <c r="AU46" i="1"/>
  <c r="E14" i="2"/>
  <c r="AU23" i="1"/>
  <c r="BB23" i="1"/>
  <c r="BB19" i="1"/>
  <c r="AU19" i="1"/>
  <c r="AU21" i="1"/>
  <c r="BB21" i="1"/>
  <c r="AU31" i="1"/>
  <c r="BB31" i="1"/>
  <c r="F11" i="2"/>
  <c r="I11" i="2" s="1"/>
  <c r="AU70" i="1"/>
  <c r="BB70" i="1"/>
  <c r="H12" i="1"/>
  <c r="D11" i="2" s="1"/>
  <c r="AU28" i="1"/>
  <c r="BB28" i="1"/>
  <c r="AU66" i="1"/>
  <c r="BB66" i="1"/>
  <c r="AU61" i="1"/>
  <c r="BB61" i="1"/>
  <c r="AK66" i="1" l="1"/>
  <c r="AT65" i="1" s="1"/>
  <c r="J65" i="1"/>
  <c r="C15" i="5"/>
  <c r="D19" i="2"/>
  <c r="C14" i="5" s="1"/>
  <c r="E19" i="2"/>
  <c r="I14" i="2"/>
  <c r="J76" i="1" l="1"/>
  <c r="F17" i="2"/>
  <c r="C22" i="5"/>
  <c r="C29" i="5" s="1"/>
  <c r="I28" i="5" s="1"/>
  <c r="F19" i="2" l="1"/>
  <c r="I17" i="2"/>
  <c r="F29" i="5"/>
  <c r="I29" i="5" s="1"/>
</calcChain>
</file>

<file path=xl/sharedStrings.xml><?xml version="1.0" encoding="utf-8"?>
<sst xmlns="http://schemas.openxmlformats.org/spreadsheetml/2006/main" count="512" uniqueCount="240">
  <si>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</si>
  <si>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</si>
  <si>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</si>
  <si>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</si>
  <si>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</si>
  <si>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</si>
  <si>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</si>
  <si>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</si>
  <si>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</si>
  <si>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</si>
  <si>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</si>
  <si>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</si>
  <si>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</si>
  <si>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</si>
  <si>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</si>
  <si>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</si>
  <si>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</si>
  <si>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15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</si>
  <si>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</si>
  <si>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</si>
  <si>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</si>
  <si>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</si>
  <si>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</si>
  <si>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</si>
  <si>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</si>
  <si>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</si>
  <si>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</si>
  <si>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</si>
  <si>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</si>
  <si>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</si>
  <si>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</si>
  <si>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</si>
  <si>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</si>
  <si>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</si>
  <si>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</si>
  <si>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</si>
  <si>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</si>
  <si>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</si>
  <si>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</si>
  <si>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</si>
  <si>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</si>
  <si>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</si>
  <si>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</si>
  <si>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</si>
  <si>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</si>
  <si>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</si>
  <si>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</si>
  <si>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</si>
  <si>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</si>
  <si>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</si>
  <si>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</si>
  <si>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</si>
  <si>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</si>
  <si>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</si>
  <si>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</si>
  <si>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</si>
  <si>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</si>
  <si>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</si>
  <si>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</si>
  <si>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</si>
  <si>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</si>
  <si>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</si>
  <si>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</si>
  <si>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</si>
  <si>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</si>
  <si>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</si>
  <si>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</si>
  <si>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</si>
  <si>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</si>
  <si>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</si>
  <si>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</si>
  <si>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</si>
  <si>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</si>
  <si>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</si>
  <si>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</si>
  <si>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</si>
  <si>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</si>
  <si>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</si>
  <si>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</si>
  <si>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</si>
  <si>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</si>
  <si>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</si>
  <si>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</si>
  <si>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</si>
  <si>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</si>
  <si>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</si>
  <si>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</si>
  <si>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</si>
  <si>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</si>
  <si>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</si>
  <si>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</si>
  <si>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</si>
  <si>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</si>
  <si>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</si>
  <si>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</si>
  <si>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</si>
  <si>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</si>
  <si>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</si>
  <si>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</si>
  <si>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</si>
  <si>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</si>
  <si>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</si>
  <si>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</si>
  <si>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</si>
  <si>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11_</t>
  </si>
  <si>
    <t>57_</t>
  </si>
  <si>
    <t>91_</t>
  </si>
  <si>
    <t>H22_</t>
  </si>
  <si>
    <t>S_</t>
  </si>
  <si>
    <t>0_</t>
  </si>
  <si>
    <t>1_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</si>
  <si>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</si>
  <si>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</si>
  <si>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</si>
  <si>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</si>
  <si>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</si>
  <si>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</si>
  <si>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</si>
  <si>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</si>
  <si>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</si>
  <si>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</si>
  <si>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</si>
  <si>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</si>
  <si>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</si>
  <si>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</si>
  <si>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</si>
  <si>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</si>
  <si>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</si>
  <si>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</si>
  <si>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</si>
  <si>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</si>
  <si>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</si>
  <si>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</si>
  <si>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</si>
  <si>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</si>
  <si>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</si>
  <si>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</si>
  <si>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</si>
  <si>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</si>
  <si>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</si>
  <si>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</si>
  <si>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</si>
  <si>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</si>
  <si>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</si>
  <si>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</si>
  <si>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</si>
  <si>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</si>
  <si>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</si>
  <si>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</si>
  <si>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</si>
  <si>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</si>
  <si>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</si>
  <si>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</si>
  <si>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</si>
  <si>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</si>
  <si>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</si>
  <si>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</si>
  <si>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</si>
  <si>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</si>
  <si>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</si>
  <si>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</si>
  <si>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</si>
  <si>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</si>
  <si>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</si>
  <si>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</si>
  <si>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</si>
  <si>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</si>
  <si>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</si>
  <si>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</si>
  <si>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</si>
  <si>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</si>
  <si>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</si>
  <si>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</si>
  <si>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</si>
  <si>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Položka obsahuje nakládku R-materiálu a zametení (dočištění) frézovaných míst</t>
  </si>
  <si>
    <t>113151314R00</t>
  </si>
  <si>
    <t>577132111R00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</si>
  <si>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</si>
  <si>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Asfaltový koberec mastixový SMA 11 (AKMS) "SMA 11 s PMB 45/80-65" s rozprostředním a se zhutněním v pruhu šířky přes 3 m, po zhutněnní tl. 40 mm</t>
  </si>
  <si>
    <t>12</t>
  </si>
  <si>
    <t>89</t>
  </si>
  <si>
    <t>Ostatní konstrukce a práce na trubním vedení</t>
  </si>
  <si>
    <t>899331111R00</t>
  </si>
  <si>
    <t>kus</t>
  </si>
  <si>
    <t>89_</t>
  </si>
  <si>
    <t>8_</t>
  </si>
  <si>
    <t>19</t>
  </si>
  <si>
    <t>596215021R00</t>
  </si>
  <si>
    <t>Frézování živič.krytu nad 500 m2, s překážkami, tl.4 cm</t>
  </si>
  <si>
    <t>Kladení kamenné dlažby 10x10 cm do betonu</t>
  </si>
  <si>
    <t>577142122R00</t>
  </si>
  <si>
    <t>Beton asfalt. ACL 16+ ložný, š. do 3 m, tl. 6 cm</t>
  </si>
  <si>
    <t>16</t>
  </si>
  <si>
    <t>18</t>
  </si>
  <si>
    <t>Frézování živič.krytu do 500 m2, s překážkami, tl.6 cm</t>
  </si>
  <si>
    <t>Výšková úprava vstupu do 20 cm, zvýšení poklopu uliční vpusti/revizní šachty kanalizace</t>
  </si>
  <si>
    <t>Výšková úprava vstupu do 20 cm, zvýšení poklopu vodvodního uzávěru</t>
  </si>
  <si>
    <t>13</t>
  </si>
  <si>
    <t>podél frézovaných spár v asfaltu, ošetření trhlin v ložné vrstvě po odfrézování (včetně proříznutí)</t>
  </si>
  <si>
    <t>20</t>
  </si>
  <si>
    <t>22.01.2026</t>
  </si>
  <si>
    <t xml:space="preserve">Pozn. doprava recyklátu na skládku objednatele do 5 km od místa provádění stavby </t>
  </si>
  <si>
    <t>Oprava povrchu komunikace č. 42b "Kosov příjezdová" - 2. úsek</t>
  </si>
  <si>
    <t>Frézování živič.krytu do 500 m2, s překážkami, tl.4 cm</t>
  </si>
  <si>
    <t>Položka obsahuje nakládku R-materiálu a zametení (dočištění) frézovaných míst - frézování zápiců na začátku a koci úseku, odstranění podkladu v místě výhybny, frézování v místě poruch</t>
  </si>
  <si>
    <t>Položka obsahuje nakládku R-materiálu a zametení (dočištění) frézovaných míst - frézování lokálních poruch v ložné vrstvě, frézování v místě výhybny</t>
  </si>
  <si>
    <t>Předláždění stávajícího kamenného dvojřádku v místech poškození +</t>
  </si>
  <si>
    <t>596291111R00</t>
  </si>
  <si>
    <t>Řezání zámkové dlažby tl. 60 mm</t>
  </si>
  <si>
    <t>59_</t>
  </si>
  <si>
    <t>596715021R00</t>
  </si>
  <si>
    <t>Kladení vodicí linie z dlažby tl.6 cm, drť tl.4 cm</t>
  </si>
  <si>
    <t>Kladení dlažby tl.6 cm nebo 5 cm, drť tl.4 cm</t>
  </si>
  <si>
    <t>917882111R00</t>
  </si>
  <si>
    <t>Osazení obrubníku bet. zastávkového, lože C 30/37 XF3</t>
  </si>
  <si>
    <t>14</t>
  </si>
  <si>
    <t>113202111R00</t>
  </si>
  <si>
    <t>Vytrhání obrub obrubníků silničních</t>
  </si>
  <si>
    <t>979081111R00</t>
  </si>
  <si>
    <t>Odvoz suti a vybour. hmot na skládku do 1 km</t>
  </si>
  <si>
    <t>979081121R00</t>
  </si>
  <si>
    <t>Příplatek k odvozu za každý další 1 km</t>
  </si>
  <si>
    <t>21</t>
  </si>
  <si>
    <t>979990103R00</t>
  </si>
  <si>
    <t>Poplatek za skládku suti - beton, asfalt, štěrk do 30x30 cm</t>
  </si>
  <si>
    <t>113106231R00</t>
  </si>
  <si>
    <t>Rozebrání dlažeb z betonové dlažby v kamenivu</t>
  </si>
  <si>
    <t>SO 101</t>
  </si>
  <si>
    <t>SO 101_1_</t>
  </si>
  <si>
    <t>SO 101_</t>
  </si>
  <si>
    <t>stávající chodník u zastávky MHD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</si>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</sst>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indexed="5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9" fontId="4" fillId="0" borderId="5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</cellStyleXfs>
  <cellXfs count="187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left" vertical="center"/>
    </xf>
    <xf numFmtId="2" fontId="8" fillId="2" borderId="2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9" fontId="23" fillId="0" borderId="5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/>
    </xf>
    <xf numFmtId="0" fontId="9" fillId="0" borderId="22" xfId="0" applyNumberFormat="1" applyFont="1" applyFill="1" applyBorder="1" applyAlignment="1" applyProtection="1">
      <alignment vertical="top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</cellXfs>
  <cellStyles count="3">
    <cellStyle name="Chybně" xfId="2"/>
    <cellStyle name="Normální" xfId="0" builtinId="0"/>
    <cellStyle name="Normální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8"/>
  <sheetViews>
    <sheetView tabSelected="1" workbookViewId="0">
      <pane ySplit="11" topLeftCell="A48" activePane="bottomLeft" state="frozenSplit"/>
      <selection pane="bottomLeft" activeCell="F58" sqref="F58"/>
    </sheetView>
  </sheetViews>
  <sheetFormatPr defaultColWidth="11.5546875" defaultRowHeight="13.2" x14ac:dyDescent="0.25"/>
  <cols>
    <col min="1" max="1" width="3.6640625" customWidth="1"/>
    <col min="2" max="2" width="7.5546875" customWidth="1"/>
    <col min="3" max="3" width="14.33203125" customWidth="1"/>
    <col min="4" max="4" width="49.6640625" customWidth="1"/>
    <col min="5" max="5" width="6.44140625" customWidth="1"/>
    <col min="6" max="6" width="12.88671875" customWidth="1"/>
    <col min="7" max="7" width="12" customWidth="1"/>
    <col min="8" max="9" width="14.33203125" customWidth="1"/>
    <col min="10" max="10" width="14.109375" customWidth="1"/>
    <col min="11" max="12" width="11.6640625" customWidth="1"/>
    <col min="24" max="57" width="12.109375" hidden="1" customWidth="1"/>
    <col min="58" max="58" width="4.44140625" hidden="1" customWidth="1"/>
    <col min="59" max="62" width="12.109375" hidden="1" customWidth="1"/>
    <col min="63" max="63" width="12.44140625" hidden="1" customWidth="1"/>
  </cols>
  <sheetData>
    <row r="1" spans="1:63" ht="72.900000000000006" customHeight="1" x14ac:dyDescent="0.25">
      <c r="A1" s="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63" x14ac:dyDescent="0.25">
      <c r="A2" s="123" t="s">
        <v>1</v>
      </c>
      <c r="B2" s="124"/>
      <c r="C2" s="124"/>
      <c r="D2" s="127" t="s">
        <v>202</v>
      </c>
      <c r="E2" s="129" t="s">
        <v>67</v>
      </c>
      <c r="F2" s="124"/>
      <c r="G2" s="129" t="s">
        <v>6</v>
      </c>
      <c r="H2" s="130" t="s">
        <v>79</v>
      </c>
      <c r="I2" s="130" t="s">
        <v>86</v>
      </c>
      <c r="J2" s="124"/>
      <c r="K2" s="124"/>
      <c r="L2" s="124"/>
      <c r="M2" s="5"/>
    </row>
    <row r="3" spans="1:63" x14ac:dyDescent="0.25">
      <c r="A3" s="125"/>
      <c r="B3" s="126"/>
      <c r="C3" s="126"/>
      <c r="D3" s="128"/>
      <c r="E3" s="126"/>
      <c r="F3" s="126"/>
      <c r="G3" s="126"/>
      <c r="H3" s="126"/>
      <c r="I3" s="126"/>
      <c r="J3" s="126"/>
      <c r="K3" s="126"/>
      <c r="L3" s="126"/>
      <c r="M3" s="5"/>
    </row>
    <row r="4" spans="1:63" x14ac:dyDescent="0.25">
      <c r="A4" s="132" t="s">
        <v>2</v>
      </c>
      <c r="B4" s="126"/>
      <c r="C4" s="126"/>
      <c r="D4" s="131" t="s">
        <v>6</v>
      </c>
      <c r="E4" s="133" t="s">
        <v>68</v>
      </c>
      <c r="F4" s="126"/>
      <c r="G4" s="133" t="s">
        <v>6</v>
      </c>
      <c r="H4" s="131" t="s">
        <v>80</v>
      </c>
      <c r="I4" s="134" t="s">
        <v>87</v>
      </c>
      <c r="J4" s="126"/>
      <c r="K4" s="126"/>
      <c r="L4" s="135"/>
      <c r="M4" s="5"/>
    </row>
    <row r="5" spans="1:63" x14ac:dyDescent="0.2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35"/>
      <c r="M5" s="5"/>
    </row>
    <row r="6" spans="1:63" x14ac:dyDescent="0.25">
      <c r="A6" s="132" t="s">
        <v>3</v>
      </c>
      <c r="B6" s="126"/>
      <c r="C6" s="126"/>
      <c r="D6" s="131" t="s">
        <v>36</v>
      </c>
      <c r="E6" s="133" t="s">
        <v>69</v>
      </c>
      <c r="F6" s="126"/>
      <c r="G6" s="133" t="s">
        <v>6</v>
      </c>
      <c r="H6" s="131" t="s">
        <v>81</v>
      </c>
      <c r="I6" s="131" t="s">
        <v>88</v>
      </c>
      <c r="J6" s="126"/>
      <c r="K6" s="126"/>
      <c r="L6" s="126"/>
      <c r="M6" s="5"/>
    </row>
    <row r="7" spans="1:63" x14ac:dyDescent="0.25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5"/>
    </row>
    <row r="8" spans="1:63" x14ac:dyDescent="0.25">
      <c r="A8" s="132" t="s">
        <v>4</v>
      </c>
      <c r="B8" s="126"/>
      <c r="C8" s="126"/>
      <c r="D8" s="131" t="s">
        <v>6</v>
      </c>
      <c r="E8" s="133" t="s">
        <v>70</v>
      </c>
      <c r="F8" s="126"/>
      <c r="G8" s="133" t="s">
        <v>200</v>
      </c>
      <c r="H8" s="131" t="s">
        <v>82</v>
      </c>
      <c r="I8" s="131" t="s">
        <v>172</v>
      </c>
      <c r="J8" s="126"/>
      <c r="K8" s="126"/>
      <c r="L8" s="126"/>
      <c r="M8" s="5"/>
    </row>
    <row r="9" spans="1:63" ht="13.8" thickBot="1" x14ac:dyDescent="0.3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5"/>
    </row>
    <row r="10" spans="1:63" x14ac:dyDescent="0.25">
      <c r="A10" s="1" t="s">
        <v>5</v>
      </c>
      <c r="B10" s="10" t="s">
        <v>20</v>
      </c>
      <c r="C10" s="10" t="s">
        <v>21</v>
      </c>
      <c r="D10" s="102" t="s">
        <v>37</v>
      </c>
      <c r="E10" s="102" t="s">
        <v>71</v>
      </c>
      <c r="F10" s="103" t="s">
        <v>76</v>
      </c>
      <c r="G10" s="104" t="s">
        <v>77</v>
      </c>
      <c r="H10" s="140" t="s">
        <v>83</v>
      </c>
      <c r="I10" s="141"/>
      <c r="J10" s="142"/>
      <c r="K10" s="143" t="s">
        <v>91</v>
      </c>
      <c r="L10" s="142"/>
      <c r="M10" s="32"/>
      <c r="BJ10" s="30" t="s">
        <v>117</v>
      </c>
      <c r="BK10" s="36" t="s">
        <v>119</v>
      </c>
    </row>
    <row r="11" spans="1:63" x14ac:dyDescent="0.25">
      <c r="A11" s="2" t="s">
        <v>6</v>
      </c>
      <c r="B11" s="11" t="s">
        <v>6</v>
      </c>
      <c r="C11" s="11" t="s">
        <v>6</v>
      </c>
      <c r="D11" s="18" t="s">
        <v>38</v>
      </c>
      <c r="E11" s="11" t="s">
        <v>6</v>
      </c>
      <c r="F11" s="11" t="s">
        <v>6</v>
      </c>
      <c r="G11" s="25" t="s">
        <v>78</v>
      </c>
      <c r="H11" s="26" t="s">
        <v>84</v>
      </c>
      <c r="I11" s="27" t="s">
        <v>89</v>
      </c>
      <c r="J11" s="28" t="s">
        <v>90</v>
      </c>
      <c r="K11" s="26" t="s">
        <v>92</v>
      </c>
      <c r="L11" s="28" t="s">
        <v>90</v>
      </c>
      <c r="M11" s="32"/>
      <c r="Y11" s="30" t="s">
        <v>93</v>
      </c>
      <c r="Z11" s="30" t="s">
        <v>94</v>
      </c>
      <c r="AA11" s="30" t="s">
        <v>95</v>
      </c>
      <c r="AB11" s="30" t="s">
        <v>96</v>
      </c>
      <c r="AC11" s="30" t="s">
        <v>97</v>
      </c>
      <c r="AD11" s="30" t="s">
        <v>98</v>
      </c>
      <c r="AE11" s="30" t="s">
        <v>99</v>
      </c>
      <c r="AF11" s="30" t="s">
        <v>100</v>
      </c>
      <c r="AG11" s="30" t="s">
        <v>101</v>
      </c>
      <c r="BG11" s="30" t="s">
        <v>114</v>
      </c>
      <c r="BH11" s="30" t="s">
        <v>115</v>
      </c>
      <c r="BI11" s="30" t="s">
        <v>116</v>
      </c>
    </row>
    <row r="12" spans="1:63" x14ac:dyDescent="0.25">
      <c r="A12" s="3"/>
      <c r="B12" s="12"/>
      <c r="C12" s="12" t="s">
        <v>22</v>
      </c>
      <c r="D12" s="12" t="s">
        <v>39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37">
        <f>SUM(L13:L25)</f>
        <v>0</v>
      </c>
      <c r="M12" s="5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25">
      <c r="A13" s="4" t="s">
        <v>7</v>
      </c>
      <c r="B13" s="13"/>
      <c r="C13" s="13" t="s">
        <v>23</v>
      </c>
      <c r="D13" s="13" t="s">
        <v>40</v>
      </c>
      <c r="E13" s="13" t="s">
        <v>72</v>
      </c>
      <c r="F13" s="23">
        <v>1</v>
      </c>
      <c r="G13" s="181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23">
        <f>F13*K13</f>
        <v>0</v>
      </c>
      <c r="M13" s="5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102</v>
      </c>
      <c r="AY13" s="35" t="s">
        <v>109</v>
      </c>
      <c r="AZ13" s="30" t="s">
        <v>113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118</v>
      </c>
      <c r="BK13" s="33" t="s">
        <v>22</v>
      </c>
    </row>
    <row r="14" spans="1:63" ht="57" customHeight="1" x14ac:dyDescent="0.25">
      <c r="A14" s="119"/>
      <c r="C14" s="16" t="s">
        <v>18</v>
      </c>
      <c r="D14" s="136" t="s">
        <v>177</v>
      </c>
      <c r="E14" s="137"/>
      <c r="F14" s="137"/>
      <c r="G14" s="137"/>
      <c r="H14" s="137"/>
      <c r="I14" s="137"/>
      <c r="J14" s="137"/>
      <c r="K14" s="137"/>
      <c r="L14" s="137"/>
      <c r="M14" s="5"/>
    </row>
    <row r="15" spans="1:63" x14ac:dyDescent="0.25">
      <c r="A15" s="4" t="s">
        <v>8</v>
      </c>
      <c r="B15" s="13"/>
      <c r="C15" s="13" t="s">
        <v>23</v>
      </c>
      <c r="D15" s="13" t="s">
        <v>41</v>
      </c>
      <c r="E15" s="13" t="s">
        <v>72</v>
      </c>
      <c r="F15" s="23">
        <v>1</v>
      </c>
      <c r="G15" s="181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23">
        <f>F15*K15</f>
        <v>0</v>
      </c>
      <c r="M15" s="5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102</v>
      </c>
      <c r="AY15" s="35" t="s">
        <v>109</v>
      </c>
      <c r="AZ15" s="30" t="s">
        <v>113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118</v>
      </c>
      <c r="BK15" s="33" t="s">
        <v>22</v>
      </c>
    </row>
    <row r="16" spans="1:63" x14ac:dyDescent="0.25">
      <c r="A16" s="119"/>
      <c r="C16" s="16" t="s">
        <v>18</v>
      </c>
      <c r="D16" s="136" t="s">
        <v>42</v>
      </c>
      <c r="E16" s="137"/>
      <c r="F16" s="137"/>
      <c r="G16" s="137"/>
      <c r="H16" s="137"/>
      <c r="I16" s="137"/>
      <c r="J16" s="137"/>
      <c r="K16" s="137"/>
      <c r="L16" s="137"/>
      <c r="M16" s="5"/>
    </row>
    <row r="17" spans="1:63" x14ac:dyDescent="0.25">
      <c r="A17" s="4" t="s">
        <v>9</v>
      </c>
      <c r="B17" s="13"/>
      <c r="C17" s="13" t="s">
        <v>23</v>
      </c>
      <c r="D17" s="13" t="s">
        <v>43</v>
      </c>
      <c r="E17" s="13" t="s">
        <v>72</v>
      </c>
      <c r="F17" s="23">
        <v>1</v>
      </c>
      <c r="G17" s="181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23">
        <f>F17*K17</f>
        <v>0</v>
      </c>
      <c r="M17" s="5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102</v>
      </c>
      <c r="AY17" s="35" t="s">
        <v>109</v>
      </c>
      <c r="AZ17" s="30" t="s">
        <v>113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118</v>
      </c>
      <c r="BK17" s="33" t="s">
        <v>22</v>
      </c>
    </row>
    <row r="18" spans="1:63" ht="25.65" customHeight="1" x14ac:dyDescent="0.25">
      <c r="A18" s="119"/>
      <c r="C18" s="16" t="s">
        <v>18</v>
      </c>
      <c r="D18" s="136" t="s">
        <v>44</v>
      </c>
      <c r="E18" s="137"/>
      <c r="F18" s="137"/>
      <c r="G18" s="137"/>
      <c r="H18" s="137"/>
      <c r="I18" s="137"/>
      <c r="J18" s="137"/>
      <c r="K18" s="137"/>
      <c r="L18" s="137"/>
      <c r="M18" s="5"/>
    </row>
    <row r="19" spans="1:63" x14ac:dyDescent="0.25">
      <c r="A19" s="4" t="s">
        <v>10</v>
      </c>
      <c r="B19" s="13"/>
      <c r="C19" s="13" t="s">
        <v>23</v>
      </c>
      <c r="D19" s="13" t="s">
        <v>45</v>
      </c>
      <c r="E19" s="13" t="s">
        <v>72</v>
      </c>
      <c r="F19" s="23">
        <v>1</v>
      </c>
      <c r="G19" s="181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23">
        <f>F19*K19</f>
        <v>0</v>
      </c>
      <c r="M19" s="5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102</v>
      </c>
      <c r="AY19" s="35" t="s">
        <v>109</v>
      </c>
      <c r="AZ19" s="30" t="s">
        <v>113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118</v>
      </c>
      <c r="BK19" s="33" t="s">
        <v>22</v>
      </c>
    </row>
    <row r="20" spans="1:63" x14ac:dyDescent="0.25">
      <c r="A20" s="119"/>
      <c r="C20" s="16" t="s">
        <v>18</v>
      </c>
      <c r="D20" s="136" t="s">
        <v>46</v>
      </c>
      <c r="E20" s="137"/>
      <c r="F20" s="137"/>
      <c r="G20" s="137"/>
      <c r="H20" s="137"/>
      <c r="I20" s="137"/>
      <c r="J20" s="137"/>
      <c r="K20" s="137"/>
      <c r="L20" s="137"/>
      <c r="M20" s="5"/>
    </row>
    <row r="21" spans="1:63" x14ac:dyDescent="0.25">
      <c r="A21" s="86" t="s">
        <v>11</v>
      </c>
      <c r="B21" s="70"/>
      <c r="C21" s="70" t="s">
        <v>23</v>
      </c>
      <c r="D21" s="70" t="s">
        <v>47</v>
      </c>
      <c r="E21" s="70" t="s">
        <v>72</v>
      </c>
      <c r="F21" s="71">
        <v>1</v>
      </c>
      <c r="G21" s="182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71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102</v>
      </c>
      <c r="AY21" s="35" t="s">
        <v>109</v>
      </c>
      <c r="AZ21" s="30" t="s">
        <v>113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118</v>
      </c>
      <c r="BK21" s="33" t="s">
        <v>22</v>
      </c>
    </row>
    <row r="22" spans="1:63" x14ac:dyDescent="0.25">
      <c r="A22" s="119"/>
      <c r="C22" s="16" t="s">
        <v>18</v>
      </c>
      <c r="D22" s="136" t="s">
        <v>48</v>
      </c>
      <c r="E22" s="137"/>
      <c r="F22" s="137"/>
      <c r="G22" s="137"/>
      <c r="H22" s="137"/>
      <c r="I22" s="137"/>
      <c r="J22" s="137"/>
      <c r="K22" s="137"/>
      <c r="L22" s="137"/>
      <c r="M22" s="5"/>
    </row>
    <row r="23" spans="1:63" x14ac:dyDescent="0.25">
      <c r="A23" s="87" t="s">
        <v>12</v>
      </c>
      <c r="B23" s="13"/>
      <c r="C23" s="13" t="s">
        <v>23</v>
      </c>
      <c r="D23" s="13" t="s">
        <v>49</v>
      </c>
      <c r="E23" s="13" t="s">
        <v>72</v>
      </c>
      <c r="F23" s="23">
        <v>1</v>
      </c>
      <c r="G23" s="181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23">
        <f>F23*K23</f>
        <v>0</v>
      </c>
      <c r="M23" s="5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102</v>
      </c>
      <c r="AY23" s="35" t="s">
        <v>109</v>
      </c>
      <c r="AZ23" s="30" t="s">
        <v>113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118</v>
      </c>
      <c r="BK23" s="33" t="s">
        <v>22</v>
      </c>
    </row>
    <row r="24" spans="1:63" ht="25.65" customHeight="1" x14ac:dyDescent="0.25">
      <c r="A24" s="119"/>
      <c r="C24" s="16" t="s">
        <v>18</v>
      </c>
      <c r="D24" s="136" t="s">
        <v>50</v>
      </c>
      <c r="E24" s="137"/>
      <c r="F24" s="137"/>
      <c r="G24" s="137"/>
      <c r="H24" s="137"/>
      <c r="I24" s="137"/>
      <c r="J24" s="137"/>
      <c r="K24" s="137"/>
      <c r="L24" s="137"/>
      <c r="M24" s="5"/>
    </row>
    <row r="25" spans="1:63" x14ac:dyDescent="0.25">
      <c r="A25" s="87" t="s">
        <v>13</v>
      </c>
      <c r="B25" s="13"/>
      <c r="C25" s="13" t="s">
        <v>23</v>
      </c>
      <c r="D25" s="13" t="s">
        <v>51</v>
      </c>
      <c r="E25" s="13" t="s">
        <v>72</v>
      </c>
      <c r="F25" s="23">
        <v>1</v>
      </c>
      <c r="G25" s="181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23">
        <f>F25*K25</f>
        <v>0</v>
      </c>
      <c r="M25" s="5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102</v>
      </c>
      <c r="AY25" s="35" t="s">
        <v>109</v>
      </c>
      <c r="AZ25" s="30" t="s">
        <v>113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118</v>
      </c>
      <c r="BK25" s="33" t="s">
        <v>22</v>
      </c>
    </row>
    <row r="26" spans="1:63" x14ac:dyDescent="0.25">
      <c r="A26" s="119"/>
      <c r="C26" s="16" t="s">
        <v>18</v>
      </c>
      <c r="D26" s="136" t="s">
        <v>52</v>
      </c>
      <c r="E26" s="137"/>
      <c r="F26" s="137"/>
      <c r="G26" s="137"/>
      <c r="H26" s="137"/>
      <c r="I26" s="137"/>
      <c r="J26" s="137"/>
      <c r="K26" s="137"/>
      <c r="L26" s="137"/>
      <c r="M26" s="5"/>
    </row>
    <row r="27" spans="1:63" x14ac:dyDescent="0.25">
      <c r="A27" s="6"/>
      <c r="B27" s="14"/>
      <c r="C27" s="14" t="s">
        <v>24</v>
      </c>
      <c r="D27" s="14" t="s">
        <v>53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38">
        <f>SUM(L28:L28)</f>
        <v>0</v>
      </c>
      <c r="M27" s="5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25">
      <c r="A28" s="88" t="s">
        <v>14</v>
      </c>
      <c r="B28" s="20"/>
      <c r="C28" s="20" t="s">
        <v>25</v>
      </c>
      <c r="D28" s="92" t="s">
        <v>54</v>
      </c>
      <c r="E28" s="92" t="s">
        <v>72</v>
      </c>
      <c r="F28" s="33">
        <v>1</v>
      </c>
      <c r="G28" s="183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103</v>
      </c>
      <c r="AY28" s="35" t="s">
        <v>109</v>
      </c>
      <c r="AZ28" s="30" t="s">
        <v>113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118</v>
      </c>
      <c r="BK28" s="33" t="s">
        <v>24</v>
      </c>
    </row>
    <row r="29" spans="1:63" x14ac:dyDescent="0.25">
      <c r="A29" s="119"/>
      <c r="C29" s="16" t="s">
        <v>18</v>
      </c>
      <c r="D29" s="136" t="s">
        <v>55</v>
      </c>
      <c r="E29" s="137"/>
      <c r="F29" s="137"/>
      <c r="G29" s="137"/>
      <c r="H29" s="137"/>
      <c r="I29" s="137"/>
      <c r="J29" s="137"/>
      <c r="K29" s="137"/>
      <c r="L29" s="144"/>
      <c r="M29" s="72"/>
    </row>
    <row r="30" spans="1:63" x14ac:dyDescent="0.25">
      <c r="A30" s="6"/>
      <c r="B30" s="14"/>
      <c r="C30" s="14" t="s">
        <v>16</v>
      </c>
      <c r="D30" s="14" t="s">
        <v>56</v>
      </c>
      <c r="E30" s="22" t="s">
        <v>6</v>
      </c>
      <c r="F30" s="22" t="s">
        <v>6</v>
      </c>
      <c r="G30" s="22" t="s">
        <v>6</v>
      </c>
      <c r="H30" s="38">
        <f>SUM(H31:H31)</f>
        <v>0</v>
      </c>
      <c r="I30" s="38">
        <f>SUM(I31:I35)</f>
        <v>0</v>
      </c>
      <c r="J30" s="38">
        <f>SUM(J31:J35)</f>
        <v>0</v>
      </c>
      <c r="K30" s="30"/>
      <c r="L30" s="98">
        <f>SUM(L31:L35)</f>
        <v>152.9</v>
      </c>
      <c r="M30" s="72"/>
      <c r="AH30" s="30"/>
      <c r="AR30" s="38">
        <f>SUM(AI31:AI31)</f>
        <v>0</v>
      </c>
      <c r="AS30" s="38">
        <f>SUM(AJ31:AJ31)</f>
        <v>0</v>
      </c>
      <c r="AT30" s="38">
        <f>SUM(AK31:AK31)</f>
        <v>0</v>
      </c>
    </row>
    <row r="31" spans="1:63" x14ac:dyDescent="0.25">
      <c r="A31" s="87" t="s">
        <v>15</v>
      </c>
      <c r="B31" s="13"/>
      <c r="C31" s="93" t="s">
        <v>175</v>
      </c>
      <c r="D31" s="93" t="s">
        <v>188</v>
      </c>
      <c r="E31" s="13" t="s">
        <v>73</v>
      </c>
      <c r="F31" s="82">
        <v>790</v>
      </c>
      <c r="G31" s="181"/>
      <c r="H31" s="82">
        <f>F31*AN31</f>
        <v>0</v>
      </c>
      <c r="I31" s="82">
        <f>F31*AO31</f>
        <v>0</v>
      </c>
      <c r="J31" s="82">
        <f>F31*G31</f>
        <v>0</v>
      </c>
      <c r="K31" s="82">
        <v>0.11</v>
      </c>
      <c r="L31" s="95">
        <f>F31*K31</f>
        <v>86.9</v>
      </c>
      <c r="M31" s="72"/>
      <c r="Y31" s="33">
        <f>IF(AP31="5",BI31,0)</f>
        <v>0</v>
      </c>
      <c r="AA31" s="33">
        <f>IF(AP31="1",BG31,0)</f>
        <v>0</v>
      </c>
      <c r="AB31" s="33">
        <f>IF(AP31="1",BH31,0)</f>
        <v>0</v>
      </c>
      <c r="AC31" s="33">
        <f>IF(AP31="7",BG31,0)</f>
        <v>0</v>
      </c>
      <c r="AD31" s="33">
        <f>IF(AP31="7",BH31,0)</f>
        <v>0</v>
      </c>
      <c r="AE31" s="33">
        <f>IF(AP31="2",BG31,0)</f>
        <v>0</v>
      </c>
      <c r="AF31" s="33">
        <f>IF(AP31="2",BH31,0)</f>
        <v>0</v>
      </c>
      <c r="AG31" s="33">
        <f>IF(AP31="0",BI31,0)</f>
        <v>0</v>
      </c>
      <c r="AH31" s="30"/>
      <c r="AI31" s="23">
        <f>IF(AM31=0,J31,0)</f>
        <v>0</v>
      </c>
      <c r="AJ31" s="23">
        <f>IF(AM31=15,J31,0)</f>
        <v>0</v>
      </c>
      <c r="AK31" s="23">
        <f>IF(AM31=21,J31,0)</f>
        <v>0</v>
      </c>
      <c r="AM31" s="33">
        <v>21</v>
      </c>
      <c r="AN31" s="33">
        <f>G31*0</f>
        <v>0</v>
      </c>
      <c r="AO31" s="33">
        <f>G31*(1-0)</f>
        <v>0</v>
      </c>
      <c r="AP31" s="34" t="s">
        <v>7</v>
      </c>
      <c r="AU31" s="33">
        <f>AV31+AW31</f>
        <v>0</v>
      </c>
      <c r="AV31" s="33">
        <f>F31*AN31</f>
        <v>0</v>
      </c>
      <c r="AW31" s="33">
        <f>F31*AO31</f>
        <v>0</v>
      </c>
      <c r="AX31" s="35" t="s">
        <v>104</v>
      </c>
      <c r="AY31" s="35" t="s">
        <v>110</v>
      </c>
      <c r="AZ31" s="30" t="s">
        <v>113</v>
      </c>
      <c r="BB31" s="33">
        <f>AV31+AW31</f>
        <v>0</v>
      </c>
      <c r="BC31" s="33">
        <f>G31/(100-BD31)*100</f>
        <v>0</v>
      </c>
      <c r="BD31" s="33">
        <v>0</v>
      </c>
      <c r="BE31" s="33">
        <f>L31</f>
        <v>86.9</v>
      </c>
      <c r="BG31" s="23">
        <f>F31*AN31</f>
        <v>0</v>
      </c>
      <c r="BH31" s="23">
        <f>F31*AO31</f>
        <v>0</v>
      </c>
      <c r="BI31" s="23">
        <f>F31*G31</f>
        <v>0</v>
      </c>
      <c r="BJ31" s="23" t="s">
        <v>118</v>
      </c>
      <c r="BK31" s="33">
        <v>11</v>
      </c>
    </row>
    <row r="32" spans="1:63" x14ac:dyDescent="0.25">
      <c r="A32" s="119"/>
      <c r="C32" s="81" t="s">
        <v>18</v>
      </c>
      <c r="D32" s="177" t="s">
        <v>174</v>
      </c>
      <c r="E32" s="145"/>
      <c r="F32" s="145"/>
      <c r="G32" s="145"/>
      <c r="H32" s="145"/>
      <c r="I32" s="145"/>
      <c r="J32" s="145"/>
      <c r="K32" s="145"/>
      <c r="L32" s="145"/>
      <c r="M32" s="72"/>
    </row>
    <row r="33" spans="1:64" s="80" customFormat="1" ht="13.8" thickBot="1" x14ac:dyDescent="0.3">
      <c r="A33" s="121">
        <v>10</v>
      </c>
      <c r="C33" s="93" t="s">
        <v>175</v>
      </c>
      <c r="D33" s="93" t="s">
        <v>203</v>
      </c>
      <c r="E33" s="13" t="s">
        <v>73</v>
      </c>
      <c r="F33" s="82">
        <v>400</v>
      </c>
      <c r="G33" s="181"/>
      <c r="H33" s="82">
        <f>F33*AN33</f>
        <v>0</v>
      </c>
      <c r="I33" s="82">
        <f>J33</f>
        <v>0</v>
      </c>
      <c r="J33" s="82">
        <f>F33*G33</f>
        <v>0</v>
      </c>
      <c r="K33" s="82">
        <v>0.11</v>
      </c>
      <c r="L33" s="95">
        <f>F33*K33</f>
        <v>44</v>
      </c>
      <c r="M33" s="72"/>
    </row>
    <row r="34" spans="1:64" s="80" customFormat="1" x14ac:dyDescent="0.25">
      <c r="A34" s="121"/>
      <c r="C34" s="81" t="s">
        <v>18</v>
      </c>
      <c r="D34" s="177" t="s">
        <v>204</v>
      </c>
      <c r="E34" s="145"/>
      <c r="F34" s="145"/>
      <c r="G34" s="145"/>
      <c r="H34" s="145"/>
      <c r="I34" s="145"/>
      <c r="J34" s="145"/>
      <c r="K34" s="145"/>
      <c r="L34" s="145"/>
      <c r="M34" s="72"/>
    </row>
    <row r="35" spans="1:64" s="80" customFormat="1" ht="13.8" thickBot="1" x14ac:dyDescent="0.3">
      <c r="A35" s="119">
        <v>11</v>
      </c>
      <c r="C35" s="93" t="s">
        <v>175</v>
      </c>
      <c r="D35" s="93" t="s">
        <v>194</v>
      </c>
      <c r="E35" s="13" t="s">
        <v>73</v>
      </c>
      <c r="F35" s="82">
        <v>200</v>
      </c>
      <c r="G35" s="181"/>
      <c r="H35" s="82">
        <f>F35*AN35</f>
        <v>0</v>
      </c>
      <c r="I35" s="82">
        <f>J35</f>
        <v>0</v>
      </c>
      <c r="J35" s="82">
        <f>F35*G35</f>
        <v>0</v>
      </c>
      <c r="K35" s="82">
        <v>0.11</v>
      </c>
      <c r="L35" s="95">
        <f>F35*K35</f>
        <v>22</v>
      </c>
      <c r="M35" s="72"/>
    </row>
    <row r="36" spans="1:64" s="80" customFormat="1" x14ac:dyDescent="0.25">
      <c r="A36" s="119"/>
      <c r="C36" s="81" t="s">
        <v>18</v>
      </c>
      <c r="D36" s="177" t="s">
        <v>205</v>
      </c>
      <c r="E36" s="145"/>
      <c r="F36" s="145"/>
      <c r="G36" s="145"/>
      <c r="H36" s="145"/>
      <c r="I36" s="145"/>
      <c r="J36" s="145"/>
      <c r="K36" s="145"/>
      <c r="L36" s="145"/>
      <c r="M36" s="72"/>
    </row>
    <row r="37" spans="1:64" s="80" customFormat="1" x14ac:dyDescent="0.25">
      <c r="A37" s="4" t="s">
        <v>179</v>
      </c>
      <c r="B37" s="13"/>
      <c r="C37" s="13" t="s">
        <v>216</v>
      </c>
      <c r="D37" s="13" t="s">
        <v>217</v>
      </c>
      <c r="E37" s="13" t="s">
        <v>74</v>
      </c>
      <c r="F37" s="82">
        <v>15</v>
      </c>
      <c r="G37" s="181"/>
      <c r="H37" s="82">
        <f>F37*AN37</f>
        <v>0</v>
      </c>
      <c r="I37" s="82">
        <f>F37*AO37</f>
        <v>0</v>
      </c>
      <c r="J37" s="82">
        <f>F37*G37</f>
        <v>0</v>
      </c>
      <c r="K37" s="82">
        <v>0.27</v>
      </c>
      <c r="L37" s="82">
        <f>F37*K37</f>
        <v>4.0500000000000007</v>
      </c>
      <c r="M37" s="5"/>
      <c r="Y37" s="33">
        <f>IF(AP37="5",BI37,0)</f>
        <v>0</v>
      </c>
      <c r="AA37" s="33">
        <f>IF(AP37="1",BG37,0)</f>
        <v>0</v>
      </c>
      <c r="AB37" s="33">
        <f>IF(AP37="1",BH37,0)</f>
        <v>0</v>
      </c>
      <c r="AC37" s="33">
        <f>IF(AP37="7",BG37,0)</f>
        <v>0</v>
      </c>
      <c r="AD37" s="33">
        <f>IF(AP37="7",BH37,0)</f>
        <v>0</v>
      </c>
      <c r="AE37" s="33">
        <f>IF(AP37="2",BG37,0)</f>
        <v>0</v>
      </c>
      <c r="AF37" s="33">
        <f>IF(AP37="2",BH37,0)</f>
        <v>0</v>
      </c>
      <c r="AG37" s="33">
        <f>IF(AP37="0",BI37,0)</f>
        <v>0</v>
      </c>
      <c r="AH37" s="30"/>
      <c r="AI37" s="82">
        <f>IF(AM37=0,J37,0)</f>
        <v>0</v>
      </c>
      <c r="AJ37" s="82">
        <f>IF(AM37=15,J37,0)</f>
        <v>0</v>
      </c>
      <c r="AK37" s="82">
        <f>IF(AM37=21,J37,0)</f>
        <v>0</v>
      </c>
      <c r="AM37" s="33">
        <v>21</v>
      </c>
      <c r="AN37" s="33">
        <f>G37*0</f>
        <v>0</v>
      </c>
      <c r="AO37" s="33">
        <f>G37*(1-0)</f>
        <v>0</v>
      </c>
      <c r="AP37" s="34" t="s">
        <v>7</v>
      </c>
      <c r="AU37" s="33">
        <f>AV37+AW37</f>
        <v>0</v>
      </c>
      <c r="AV37" s="33">
        <f>F37*AN37</f>
        <v>0</v>
      </c>
      <c r="AW37" s="33">
        <f>F37*AO37</f>
        <v>0</v>
      </c>
      <c r="AX37" s="35" t="s">
        <v>104</v>
      </c>
      <c r="AY37" s="35" t="s">
        <v>110</v>
      </c>
      <c r="AZ37" s="30" t="s">
        <v>113</v>
      </c>
      <c r="BB37" s="33">
        <f>AV37+AW37</f>
        <v>0</v>
      </c>
      <c r="BC37" s="33">
        <f>G37/(100-BD37)*100</f>
        <v>0</v>
      </c>
      <c r="BD37" s="33">
        <v>0</v>
      </c>
      <c r="BE37" s="33">
        <f>L37</f>
        <v>4.0500000000000007</v>
      </c>
      <c r="BG37" s="82">
        <f>F37*AN37</f>
        <v>0</v>
      </c>
      <c r="BH37" s="82">
        <f>F37*AO37</f>
        <v>0</v>
      </c>
      <c r="BI37" s="82">
        <f>F37*G37</f>
        <v>0</v>
      </c>
      <c r="BJ37" s="82" t="s">
        <v>118</v>
      </c>
      <c r="BK37" s="33">
        <v>11</v>
      </c>
    </row>
    <row r="38" spans="1:64" s="80" customFormat="1" x14ac:dyDescent="0.25">
      <c r="A38" s="4" t="s">
        <v>197</v>
      </c>
      <c r="B38" s="13"/>
      <c r="C38" s="13" t="s">
        <v>225</v>
      </c>
      <c r="D38" s="117" t="s">
        <v>226</v>
      </c>
      <c r="E38" s="13" t="s">
        <v>73</v>
      </c>
      <c r="F38" s="82">
        <v>55</v>
      </c>
      <c r="G38" s="181"/>
      <c r="H38" s="82">
        <v>0</v>
      </c>
      <c r="I38" s="82">
        <f>F38*G38</f>
        <v>0</v>
      </c>
      <c r="J38" s="82">
        <f>F38*G38</f>
        <v>0</v>
      </c>
      <c r="K38" s="82">
        <v>0.22500000000000001</v>
      </c>
      <c r="L38" s="95">
        <f>F38*K38</f>
        <v>12.375</v>
      </c>
      <c r="M38" s="82"/>
      <c r="N38" s="34"/>
      <c r="O38" s="72"/>
      <c r="Z38" s="33">
        <f>IF(AQ38="5",BJ38,0)</f>
        <v>0</v>
      </c>
      <c r="AB38" s="33">
        <f>IF(AQ38="1",BH38,0)</f>
        <v>0</v>
      </c>
      <c r="AC38" s="33">
        <f>IF(AQ38="1",BI38,0)</f>
        <v>0</v>
      </c>
      <c r="AD38" s="33">
        <f>IF(AQ38="7",BH38,0)</f>
        <v>0</v>
      </c>
      <c r="AE38" s="33">
        <f>IF(AQ38="7",BI38,0)</f>
        <v>0</v>
      </c>
      <c r="AF38" s="33">
        <f>IF(AQ38="2",BH38,0)</f>
        <v>0</v>
      </c>
      <c r="AG38" s="33">
        <f>IF(AQ38="2",BI38,0)</f>
        <v>0</v>
      </c>
      <c r="AH38" s="33">
        <f>IF(AQ38="0",BJ38,0)</f>
        <v>0</v>
      </c>
      <c r="AI38" s="30" t="s">
        <v>227</v>
      </c>
      <c r="AJ38" s="82">
        <f>IF(AN38=0,K38,0)</f>
        <v>0</v>
      </c>
      <c r="AK38" s="82">
        <f>IF(AN38=15,K38,0)</f>
        <v>0</v>
      </c>
      <c r="AL38" s="82">
        <f>IF(AN38=21,K38,0)</f>
        <v>0.22500000000000001</v>
      </c>
      <c r="AN38" s="33">
        <v>21</v>
      </c>
      <c r="AO38" s="33">
        <f>H38*0</f>
        <v>0</v>
      </c>
      <c r="AP38" s="33">
        <f>H38*(1-0)</f>
        <v>0</v>
      </c>
      <c r="AQ38" s="34" t="s">
        <v>7</v>
      </c>
      <c r="AV38" s="33">
        <f>AW38+AX38</f>
        <v>0</v>
      </c>
      <c r="AW38" s="33">
        <f>G38*AO38</f>
        <v>0</v>
      </c>
      <c r="AX38" s="33">
        <f>G38*AP38</f>
        <v>0</v>
      </c>
      <c r="AY38" s="35" t="s">
        <v>104</v>
      </c>
      <c r="AZ38" s="35" t="s">
        <v>228</v>
      </c>
      <c r="BA38" s="30" t="s">
        <v>229</v>
      </c>
      <c r="BC38" s="33">
        <f>AW38+AX38</f>
        <v>0</v>
      </c>
      <c r="BD38" s="33">
        <f>H38/(100-BE38)*100</f>
        <v>0</v>
      </c>
      <c r="BE38" s="33">
        <v>0</v>
      </c>
      <c r="BF38" s="33">
        <f>M38</f>
        <v>0</v>
      </c>
      <c r="BH38" s="82">
        <f>G38*AO38</f>
        <v>0</v>
      </c>
      <c r="BI38" s="82">
        <f>G38*AP38</f>
        <v>0</v>
      </c>
      <c r="BJ38" s="82">
        <f>G38*H38</f>
        <v>0</v>
      </c>
      <c r="BK38" s="82" t="s">
        <v>118</v>
      </c>
      <c r="BL38" s="33">
        <v>11</v>
      </c>
    </row>
    <row r="39" spans="1:64" s="80" customFormat="1" x14ac:dyDescent="0.25">
      <c r="A39" s="5"/>
      <c r="C39" s="81" t="s">
        <v>18</v>
      </c>
      <c r="D39" s="178" t="s">
        <v>230</v>
      </c>
      <c r="E39" s="179"/>
      <c r="F39" s="179"/>
      <c r="G39" s="179"/>
      <c r="H39" s="179"/>
      <c r="I39" s="179"/>
      <c r="J39" s="179"/>
      <c r="K39" s="179"/>
      <c r="L39" s="180"/>
      <c r="M39" s="179"/>
      <c r="N39" s="179"/>
      <c r="O39" s="72"/>
    </row>
    <row r="40" spans="1:64" x14ac:dyDescent="0.25">
      <c r="A40" s="6"/>
      <c r="B40" s="14"/>
      <c r="C40" s="14" t="s">
        <v>27</v>
      </c>
      <c r="D40" s="90" t="s">
        <v>57</v>
      </c>
      <c r="E40" s="22" t="s">
        <v>6</v>
      </c>
      <c r="F40" s="22" t="s">
        <v>6</v>
      </c>
      <c r="G40" s="22" t="s">
        <v>6</v>
      </c>
      <c r="H40" s="38">
        <f>SUM(H41:H55)</f>
        <v>0</v>
      </c>
      <c r="I40" s="38">
        <f>SUM(I41:I55)</f>
        <v>0</v>
      </c>
      <c r="J40" s="38">
        <f>SUM(J41:J55)</f>
        <v>0</v>
      </c>
      <c r="K40" s="30"/>
      <c r="L40" s="38">
        <f>SUM(L41:L55)</f>
        <v>932.99604000000011</v>
      </c>
      <c r="M40" s="5"/>
      <c r="AH40" s="30"/>
      <c r="AR40" s="38">
        <f>SUM(AI41:AI56)</f>
        <v>0</v>
      </c>
      <c r="AS40" s="38">
        <f>SUM(AJ41:AJ56)</f>
        <v>0</v>
      </c>
      <c r="AT40" s="38">
        <f>SUM(AK41:AK56)</f>
        <v>0</v>
      </c>
    </row>
    <row r="41" spans="1:64" x14ac:dyDescent="0.25">
      <c r="A41" s="4" t="s">
        <v>215</v>
      </c>
      <c r="B41" s="13"/>
      <c r="C41" s="13" t="s">
        <v>28</v>
      </c>
      <c r="D41" s="13" t="s">
        <v>58</v>
      </c>
      <c r="E41" s="13" t="s">
        <v>73</v>
      </c>
      <c r="F41" s="82">
        <v>6850</v>
      </c>
      <c r="G41" s="181"/>
      <c r="H41" s="82">
        <f>F41*AN41</f>
        <v>0</v>
      </c>
      <c r="I41" s="82">
        <f>F41*AO41</f>
        <v>0</v>
      </c>
      <c r="J41" s="82">
        <f>F41*G41</f>
        <v>0</v>
      </c>
      <c r="K41" s="82">
        <v>3.1E-4</v>
      </c>
      <c r="L41" s="95">
        <f>F41*K41</f>
        <v>2.1234999999999999</v>
      </c>
      <c r="M41" s="72"/>
      <c r="Y41" s="33">
        <f>IF(AP41="5",BI41,0)</f>
        <v>0</v>
      </c>
      <c r="AA41" s="33">
        <f>IF(AP41="1",BG41,0)</f>
        <v>0</v>
      </c>
      <c r="AB41" s="33">
        <f>IF(AP41="1",BH41,0)</f>
        <v>0</v>
      </c>
      <c r="AC41" s="33">
        <f>IF(AP41="7",BG41,0)</f>
        <v>0</v>
      </c>
      <c r="AD41" s="33">
        <f>IF(AP41="7",BH41,0)</f>
        <v>0</v>
      </c>
      <c r="AE41" s="33">
        <f>IF(AP41="2",BG41,0)</f>
        <v>0</v>
      </c>
      <c r="AF41" s="33">
        <f>IF(AP41="2",BH41,0)</f>
        <v>0</v>
      </c>
      <c r="AG41" s="33">
        <f>IF(AP41="0",BI41,0)</f>
        <v>0</v>
      </c>
      <c r="AH41" s="30"/>
      <c r="AI41" s="23">
        <f>IF(AM41=0,J41,0)</f>
        <v>0</v>
      </c>
      <c r="AJ41" s="23">
        <f>IF(AM41=15,J41,0)</f>
        <v>0</v>
      </c>
      <c r="AK41" s="23">
        <f>IF(AM41=21,J41,0)</f>
        <v>0</v>
      </c>
      <c r="AM41" s="33">
        <v>21</v>
      </c>
      <c r="AN41" s="33">
        <f>G41*0.861735602860608</f>
        <v>0</v>
      </c>
      <c r="AO41" s="33">
        <f>G41*(1-0.861735602860608)</f>
        <v>0</v>
      </c>
      <c r="AP41" s="34" t="s">
        <v>7</v>
      </c>
      <c r="AU41" s="33">
        <f>AV41+AW41</f>
        <v>0</v>
      </c>
      <c r="AV41" s="33">
        <f>F41*AN41</f>
        <v>0</v>
      </c>
      <c r="AW41" s="33">
        <f>F41*AO41</f>
        <v>0</v>
      </c>
      <c r="AX41" s="35" t="s">
        <v>105</v>
      </c>
      <c r="AY41" s="35" t="s">
        <v>111</v>
      </c>
      <c r="AZ41" s="30" t="s">
        <v>113</v>
      </c>
      <c r="BB41" s="33">
        <f>AV41+AW41</f>
        <v>0</v>
      </c>
      <c r="BC41" s="33">
        <f>G41/(100-BD41)*100</f>
        <v>0</v>
      </c>
      <c r="BD41" s="33">
        <v>0</v>
      </c>
      <c r="BE41" s="33">
        <f>L41</f>
        <v>2.1234999999999999</v>
      </c>
      <c r="BG41" s="23">
        <f>F41*AN41</f>
        <v>0</v>
      </c>
      <c r="BH41" s="23">
        <f>F41*AO41</f>
        <v>0</v>
      </c>
      <c r="BI41" s="23">
        <f>F41*G41</f>
        <v>0</v>
      </c>
      <c r="BJ41" s="23" t="s">
        <v>118</v>
      </c>
      <c r="BK41" s="33">
        <v>57</v>
      </c>
    </row>
    <row r="42" spans="1:64" x14ac:dyDescent="0.25">
      <c r="A42" s="119"/>
      <c r="C42" s="17" t="s">
        <v>26</v>
      </c>
      <c r="D42" s="177" t="s">
        <v>59</v>
      </c>
      <c r="E42" s="145"/>
      <c r="F42" s="145"/>
      <c r="G42" s="145"/>
      <c r="H42" s="145"/>
      <c r="I42" s="145"/>
      <c r="J42" s="145"/>
      <c r="K42" s="145"/>
      <c r="L42" s="145"/>
      <c r="M42" s="72"/>
    </row>
    <row r="43" spans="1:64" s="80" customFormat="1" x14ac:dyDescent="0.25">
      <c r="A43" s="119"/>
      <c r="C43" s="17"/>
      <c r="D43" s="92"/>
      <c r="E43" s="105"/>
      <c r="F43" s="105"/>
      <c r="G43" s="105"/>
      <c r="H43" s="105"/>
      <c r="I43" s="105"/>
      <c r="J43" s="105"/>
      <c r="K43" s="105"/>
      <c r="L43" s="105"/>
      <c r="M43" s="72"/>
    </row>
    <row r="44" spans="1:64" s="80" customFormat="1" x14ac:dyDescent="0.25">
      <c r="A44" s="4" t="s">
        <v>17</v>
      </c>
      <c r="B44" s="13"/>
      <c r="C44" s="13" t="s">
        <v>190</v>
      </c>
      <c r="D44" s="13" t="s">
        <v>191</v>
      </c>
      <c r="E44" s="13" t="s">
        <v>73</v>
      </c>
      <c r="F44" s="82">
        <v>200</v>
      </c>
      <c r="G44" s="181"/>
      <c r="H44" s="82">
        <f>F44*AN44</f>
        <v>0</v>
      </c>
      <c r="I44" s="82">
        <f>F44*AO44</f>
        <v>0</v>
      </c>
      <c r="J44" s="82">
        <f>F44*G44</f>
        <v>0</v>
      </c>
      <c r="K44" s="82">
        <v>0.17</v>
      </c>
      <c r="L44" s="82">
        <f>F44*K44</f>
        <v>34</v>
      </c>
      <c r="M44" s="5"/>
      <c r="Y44" s="33">
        <f>IF(AP44="5",BI44,0)</f>
        <v>0</v>
      </c>
      <c r="AA44" s="33">
        <f>IF(AP44="1",BG44,0)</f>
        <v>0</v>
      </c>
      <c r="AB44" s="33">
        <f>IF(AP44="1",BH44,0)</f>
        <v>0</v>
      </c>
      <c r="AC44" s="33">
        <f>IF(AP44="7",BG44,0)</f>
        <v>0</v>
      </c>
      <c r="AD44" s="33">
        <f>IF(AP44="7",BH44,0)</f>
        <v>0</v>
      </c>
      <c r="AE44" s="33">
        <f>IF(AP44="2",BG44,0)</f>
        <v>0</v>
      </c>
      <c r="AF44" s="33">
        <f>IF(AP44="2",BH44,0)</f>
        <v>0</v>
      </c>
      <c r="AG44" s="33">
        <f>IF(AP44="0",BI44,0)</f>
        <v>0</v>
      </c>
      <c r="AH44" s="30"/>
      <c r="AI44" s="82">
        <f>IF(AM44=0,J44,0)</f>
        <v>0</v>
      </c>
      <c r="AJ44" s="82">
        <f>IF(AM44=15,J44,0)</f>
        <v>0</v>
      </c>
      <c r="AK44" s="82">
        <f>IF(AM44=21,J44,0)</f>
        <v>0</v>
      </c>
      <c r="AM44" s="33">
        <v>21</v>
      </c>
      <c r="AN44" s="33">
        <f>G44*0.598633333333333</f>
        <v>0</v>
      </c>
      <c r="AO44" s="33">
        <f>G44*(1-0.598633333333333)</f>
        <v>0</v>
      </c>
      <c r="AP44" s="34" t="s">
        <v>7</v>
      </c>
      <c r="AU44" s="33">
        <f>AV44+AW44</f>
        <v>0</v>
      </c>
      <c r="AV44" s="33">
        <f>F44*AN44</f>
        <v>0</v>
      </c>
      <c r="AW44" s="33">
        <f>F44*AO44</f>
        <v>0</v>
      </c>
      <c r="AX44" s="35" t="s">
        <v>105</v>
      </c>
      <c r="AY44" s="35" t="s">
        <v>111</v>
      </c>
      <c r="AZ44" s="30" t="s">
        <v>113</v>
      </c>
      <c r="BB44" s="33">
        <f>AV44+AW44</f>
        <v>0</v>
      </c>
      <c r="BC44" s="33">
        <f>G44/(100-BD44)*100</f>
        <v>0</v>
      </c>
      <c r="BD44" s="33">
        <v>0</v>
      </c>
      <c r="BE44" s="33">
        <f>L44</f>
        <v>34</v>
      </c>
      <c r="BG44" s="82">
        <f>F44*AN44</f>
        <v>0</v>
      </c>
      <c r="BH44" s="82">
        <f>F44*AO44</f>
        <v>0</v>
      </c>
      <c r="BI44" s="82">
        <f>F44*G44</f>
        <v>0</v>
      </c>
      <c r="BJ44" s="82" t="s">
        <v>118</v>
      </c>
      <c r="BK44" s="33">
        <v>57</v>
      </c>
    </row>
    <row r="45" spans="1:64" s="80" customFormat="1" x14ac:dyDescent="0.25">
      <c r="A45" s="119"/>
      <c r="D45" s="19"/>
      <c r="E45" s="96"/>
      <c r="F45" s="24"/>
      <c r="G45" s="184"/>
      <c r="H45" s="96"/>
      <c r="I45" s="96"/>
      <c r="J45" s="96"/>
      <c r="K45" s="96"/>
      <c r="L45" s="97"/>
      <c r="M45" s="72"/>
    </row>
    <row r="46" spans="1:64" ht="39.6" x14ac:dyDescent="0.25">
      <c r="A46" s="4" t="s">
        <v>192</v>
      </c>
      <c r="B46" s="13"/>
      <c r="C46" s="94" t="s">
        <v>176</v>
      </c>
      <c r="D46" s="101" t="s">
        <v>178</v>
      </c>
      <c r="E46" s="13" t="s">
        <v>73</v>
      </c>
      <c r="F46" s="82">
        <v>6850</v>
      </c>
      <c r="G46" s="181"/>
      <c r="H46" s="82">
        <f>F46*AN46</f>
        <v>0</v>
      </c>
      <c r="I46" s="82">
        <f>F46*AO46</f>
        <v>0</v>
      </c>
      <c r="J46" s="82">
        <f>F46*G46</f>
        <v>0</v>
      </c>
      <c r="K46" s="82">
        <v>0.12966</v>
      </c>
      <c r="L46" s="95">
        <f>F46*K46</f>
        <v>888.17099999999994</v>
      </c>
      <c r="M46" s="72"/>
      <c r="Y46" s="33">
        <f>IF(AP46="5",BI46,0)</f>
        <v>0</v>
      </c>
      <c r="AA46" s="33">
        <f>IF(AP46="1",BG46,0)</f>
        <v>0</v>
      </c>
      <c r="AB46" s="33">
        <f>IF(AP46="1",BH46,0)</f>
        <v>0</v>
      </c>
      <c r="AC46" s="33">
        <f>IF(AP46="7",BG46,0)</f>
        <v>0</v>
      </c>
      <c r="AD46" s="33">
        <f>IF(AP46="7",BH46,0)</f>
        <v>0</v>
      </c>
      <c r="AE46" s="33">
        <f>IF(AP46="2",BG46,0)</f>
        <v>0</v>
      </c>
      <c r="AF46" s="33">
        <f>IF(AP46="2",BH46,0)</f>
        <v>0</v>
      </c>
      <c r="AG46" s="33">
        <f>IF(AP46="0",BI46,0)</f>
        <v>0</v>
      </c>
      <c r="AH46" s="30"/>
      <c r="AI46" s="23">
        <f>IF(AM46=0,J46,0)</f>
        <v>0</v>
      </c>
      <c r="AJ46" s="23">
        <f>IF(AM46=15,J46,0)</f>
        <v>0</v>
      </c>
      <c r="AK46" s="23">
        <f>IF(AM46=21,J46,0)</f>
        <v>0</v>
      </c>
      <c r="AM46" s="33">
        <v>21</v>
      </c>
      <c r="AN46" s="33">
        <f>G46*0.638098676293622</f>
        <v>0</v>
      </c>
      <c r="AO46" s="33">
        <f>G46*(1-0.638098676293622)</f>
        <v>0</v>
      </c>
      <c r="AP46" s="34" t="s">
        <v>7</v>
      </c>
      <c r="AU46" s="33">
        <f>AV46+AW46</f>
        <v>0</v>
      </c>
      <c r="AV46" s="33">
        <f>F46*AN46</f>
        <v>0</v>
      </c>
      <c r="AW46" s="33">
        <f>F46*AO46</f>
        <v>0</v>
      </c>
      <c r="AX46" s="35" t="s">
        <v>105</v>
      </c>
      <c r="AY46" s="35" t="s">
        <v>111</v>
      </c>
      <c r="AZ46" s="30" t="s">
        <v>113</v>
      </c>
      <c r="BB46" s="33">
        <f>AV46+AW46</f>
        <v>0</v>
      </c>
      <c r="BC46" s="33">
        <f>G46/(100-BD46)*100</f>
        <v>0</v>
      </c>
      <c r="BD46" s="33">
        <v>0</v>
      </c>
      <c r="BE46" s="33">
        <f>L46</f>
        <v>888.17099999999994</v>
      </c>
      <c r="BG46" s="23">
        <f>F46*AN46</f>
        <v>0</v>
      </c>
      <c r="BH46" s="23">
        <f>F46*AO46</f>
        <v>0</v>
      </c>
      <c r="BI46" s="23">
        <f>F46*G46</f>
        <v>0</v>
      </c>
      <c r="BJ46" s="23" t="s">
        <v>118</v>
      </c>
      <c r="BK46" s="33">
        <v>57</v>
      </c>
    </row>
    <row r="47" spans="1:64" s="80" customFormat="1" x14ac:dyDescent="0.25">
      <c r="A47" s="87"/>
      <c r="B47" s="13"/>
      <c r="C47" s="94"/>
      <c r="D47" s="101"/>
      <c r="E47" s="13"/>
      <c r="F47" s="82"/>
      <c r="G47" s="82"/>
      <c r="H47" s="82"/>
      <c r="I47" s="82"/>
      <c r="J47" s="82"/>
      <c r="K47" s="82"/>
      <c r="L47" s="95"/>
      <c r="M47" s="72"/>
      <c r="Y47" s="33"/>
      <c r="AA47" s="33"/>
      <c r="AB47" s="33"/>
      <c r="AC47" s="33"/>
      <c r="AD47" s="33"/>
      <c r="AE47" s="33"/>
      <c r="AF47" s="33"/>
      <c r="AG47" s="33"/>
      <c r="AH47" s="30"/>
      <c r="AI47" s="82"/>
      <c r="AJ47" s="82"/>
      <c r="AK47" s="82"/>
      <c r="AM47" s="33"/>
      <c r="AN47" s="33"/>
      <c r="AO47" s="33"/>
      <c r="AP47" s="34"/>
      <c r="AU47" s="33"/>
      <c r="AV47" s="33"/>
      <c r="AW47" s="33"/>
      <c r="AX47" s="35"/>
      <c r="AY47" s="35"/>
      <c r="AZ47" s="30"/>
      <c r="BB47" s="33"/>
      <c r="BC47" s="33"/>
      <c r="BD47" s="33"/>
      <c r="BE47" s="33"/>
      <c r="BG47" s="82"/>
      <c r="BH47" s="82"/>
      <c r="BI47" s="82"/>
      <c r="BJ47" s="82"/>
      <c r="BK47" s="33"/>
    </row>
    <row r="48" spans="1:64" s="80" customFormat="1" x14ac:dyDescent="0.25">
      <c r="A48" s="119">
        <v>17</v>
      </c>
      <c r="C48" s="13" t="s">
        <v>187</v>
      </c>
      <c r="D48" s="117" t="s">
        <v>189</v>
      </c>
      <c r="E48" s="13" t="s">
        <v>73</v>
      </c>
      <c r="F48" s="82">
        <v>10</v>
      </c>
      <c r="G48" s="181"/>
      <c r="H48" s="82">
        <f>F48*0.4*G48</f>
        <v>0</v>
      </c>
      <c r="I48" s="82">
        <f>F48*0.6*G48</f>
        <v>0</v>
      </c>
      <c r="J48" s="82">
        <f>F48*G48</f>
        <v>0</v>
      </c>
      <c r="K48" s="82">
        <v>7.3899999999999993E-2</v>
      </c>
      <c r="L48" s="95">
        <v>1.5592900000000001</v>
      </c>
      <c r="M48" s="82"/>
    </row>
    <row r="49" spans="1:63" s="80" customFormat="1" ht="26.4" x14ac:dyDescent="0.25">
      <c r="A49" s="119"/>
      <c r="C49" s="17"/>
      <c r="D49" s="118" t="s">
        <v>206</v>
      </c>
      <c r="E49" s="99"/>
      <c r="F49" s="99"/>
      <c r="G49" s="99"/>
      <c r="H49" s="99"/>
      <c r="I49" s="99"/>
      <c r="J49" s="99"/>
      <c r="K49" s="99"/>
      <c r="L49" s="100"/>
      <c r="M49" s="72"/>
    </row>
    <row r="50" spans="1:63" s="80" customFormat="1" x14ac:dyDescent="0.25">
      <c r="A50" s="4" t="s">
        <v>193</v>
      </c>
      <c r="B50" s="13"/>
      <c r="C50" s="13" t="s">
        <v>207</v>
      </c>
      <c r="D50" s="13" t="s">
        <v>208</v>
      </c>
      <c r="E50" s="13" t="s">
        <v>74</v>
      </c>
      <c r="F50" s="82">
        <v>5</v>
      </c>
      <c r="G50" s="181"/>
      <c r="H50" s="82">
        <f>F50*AN50</f>
        <v>0</v>
      </c>
      <c r="I50" s="82">
        <f>F50*AO50</f>
        <v>0</v>
      </c>
      <c r="J50" s="82">
        <f>F50*G50</f>
        <v>0</v>
      </c>
      <c r="K50" s="82">
        <v>3.3E-4</v>
      </c>
      <c r="L50" s="82">
        <f>F50*K50</f>
        <v>1.65E-3</v>
      </c>
      <c r="M50" s="5"/>
      <c r="Y50" s="33">
        <f>IF(AP50="5",BI50,0)</f>
        <v>0</v>
      </c>
      <c r="AA50" s="33">
        <f>IF(AP50="1",BG50,0)</f>
        <v>0</v>
      </c>
      <c r="AB50" s="33">
        <f>IF(AP50="1",BH50,0)</f>
        <v>0</v>
      </c>
      <c r="AC50" s="33">
        <f>IF(AP50="7",BG50,0)</f>
        <v>0</v>
      </c>
      <c r="AD50" s="33">
        <f>IF(AP50="7",BH50,0)</f>
        <v>0</v>
      </c>
      <c r="AE50" s="33">
        <f>IF(AP50="2",BG50,0)</f>
        <v>0</v>
      </c>
      <c r="AF50" s="33">
        <f>IF(AP50="2",BH50,0)</f>
        <v>0</v>
      </c>
      <c r="AG50" s="33">
        <f>IF(AP50="0",BI50,0)</f>
        <v>0</v>
      </c>
      <c r="AH50" s="30"/>
      <c r="AI50" s="82">
        <f>IF(AM50=0,J50,0)</f>
        <v>0</v>
      </c>
      <c r="AJ50" s="82">
        <f>IF(AM50=15,J50,0)</f>
        <v>0</v>
      </c>
      <c r="AK50" s="82">
        <f>IF(AM50=21,J50,0)</f>
        <v>0</v>
      </c>
      <c r="AM50" s="33">
        <v>21</v>
      </c>
      <c r="AN50" s="33">
        <f>G50*0.0565568449241256</f>
        <v>0</v>
      </c>
      <c r="AO50" s="33">
        <f>G50*(1-0.0565568449241256)</f>
        <v>0</v>
      </c>
      <c r="AP50" s="34" t="s">
        <v>7</v>
      </c>
      <c r="AU50" s="33">
        <f>AV50+AW50</f>
        <v>0</v>
      </c>
      <c r="AV50" s="33">
        <f>F50*AN50</f>
        <v>0</v>
      </c>
      <c r="AW50" s="33">
        <f>F50*AO50</f>
        <v>0</v>
      </c>
      <c r="AX50" s="35" t="s">
        <v>209</v>
      </c>
      <c r="AY50" s="35" t="s">
        <v>111</v>
      </c>
      <c r="AZ50" s="30" t="s">
        <v>113</v>
      </c>
      <c r="BB50" s="33">
        <f>AV50+AW50</f>
        <v>0</v>
      </c>
      <c r="BC50" s="33">
        <f>G50/(100-BD50)*100</f>
        <v>0</v>
      </c>
      <c r="BD50" s="33">
        <v>0</v>
      </c>
      <c r="BE50" s="33">
        <f>L50</f>
        <v>1.65E-3</v>
      </c>
      <c r="BG50" s="82">
        <f>F50*AN50</f>
        <v>0</v>
      </c>
      <c r="BH50" s="82">
        <f>F50*AO50</f>
        <v>0</v>
      </c>
      <c r="BI50" s="82">
        <f>F50*G50</f>
        <v>0</v>
      </c>
      <c r="BJ50" s="82" t="s">
        <v>118</v>
      </c>
      <c r="BK50" s="33">
        <v>59</v>
      </c>
    </row>
    <row r="51" spans="1:63" s="80" customFormat="1" x14ac:dyDescent="0.25">
      <c r="A51" s="4" t="s">
        <v>186</v>
      </c>
      <c r="B51" s="13"/>
      <c r="C51" s="13" t="s">
        <v>210</v>
      </c>
      <c r="D51" s="13" t="s">
        <v>212</v>
      </c>
      <c r="E51" s="13" t="s">
        <v>73</v>
      </c>
      <c r="F51" s="82">
        <v>50</v>
      </c>
      <c r="G51" s="181"/>
      <c r="H51" s="82">
        <f>F51*AN51</f>
        <v>0</v>
      </c>
      <c r="I51" s="82">
        <f>F51*AO51</f>
        <v>0</v>
      </c>
      <c r="J51" s="82">
        <f>F51*G51</f>
        <v>0</v>
      </c>
      <c r="K51" s="82">
        <v>7.3899999999999993E-2</v>
      </c>
      <c r="L51" s="82">
        <f>F51*K51</f>
        <v>3.6949999999999998</v>
      </c>
      <c r="M51" s="5"/>
      <c r="Y51" s="33">
        <f>IF(AP51="5",BI51,0)</f>
        <v>0</v>
      </c>
      <c r="AA51" s="33">
        <f>IF(AP51="1",BG51,0)</f>
        <v>0</v>
      </c>
      <c r="AB51" s="33">
        <f>IF(AP51="1",BH51,0)</f>
        <v>0</v>
      </c>
      <c r="AC51" s="33">
        <f>IF(AP51="7",BG51,0)</f>
        <v>0</v>
      </c>
      <c r="AD51" s="33">
        <f>IF(AP51="7",BH51,0)</f>
        <v>0</v>
      </c>
      <c r="AE51" s="33">
        <f>IF(AP51="2",BG51,0)</f>
        <v>0</v>
      </c>
      <c r="AF51" s="33">
        <f>IF(AP51="2",BH51,0)</f>
        <v>0</v>
      </c>
      <c r="AG51" s="33">
        <f>IF(AP51="0",BI51,0)</f>
        <v>0</v>
      </c>
      <c r="AH51" s="30"/>
      <c r="AI51" s="82">
        <f>IF(AM51=0,J51,0)</f>
        <v>0</v>
      </c>
      <c r="AJ51" s="82">
        <f>IF(AM51=15,J51,0)</f>
        <v>0</v>
      </c>
      <c r="AK51" s="82">
        <f>IF(AM51=21,J51,0)</f>
        <v>0</v>
      </c>
      <c r="AM51" s="33">
        <v>21</v>
      </c>
      <c r="AN51" s="33">
        <f>G51*0.142933919736119</f>
        <v>0</v>
      </c>
      <c r="AO51" s="33">
        <f>G51*(1-0.142933919736119)</f>
        <v>0</v>
      </c>
      <c r="AP51" s="34" t="s">
        <v>7</v>
      </c>
      <c r="AU51" s="33">
        <f>AV51+AW51</f>
        <v>0</v>
      </c>
      <c r="AV51" s="33">
        <f>F51*AN51</f>
        <v>0</v>
      </c>
      <c r="AW51" s="33">
        <f>F51*AO51</f>
        <v>0</v>
      </c>
      <c r="AX51" s="35" t="s">
        <v>209</v>
      </c>
      <c r="AY51" s="35" t="s">
        <v>111</v>
      </c>
      <c r="AZ51" s="30" t="s">
        <v>113</v>
      </c>
      <c r="BB51" s="33">
        <f>AV51+AW51</f>
        <v>0</v>
      </c>
      <c r="BC51" s="33">
        <f>G51/(100-BD51)*100</f>
        <v>0</v>
      </c>
      <c r="BD51" s="33">
        <v>0</v>
      </c>
      <c r="BE51" s="33">
        <f>L51</f>
        <v>3.6949999999999998</v>
      </c>
      <c r="BG51" s="82">
        <f>F51*AN51</f>
        <v>0</v>
      </c>
      <c r="BH51" s="82">
        <f>F51*AO51</f>
        <v>0</v>
      </c>
      <c r="BI51" s="82">
        <f>F51*G51</f>
        <v>0</v>
      </c>
      <c r="BJ51" s="82" t="s">
        <v>118</v>
      </c>
      <c r="BK51" s="33">
        <v>59</v>
      </c>
    </row>
    <row r="52" spans="1:63" s="80" customFormat="1" x14ac:dyDescent="0.25">
      <c r="A52" s="5"/>
      <c r="D52" s="19"/>
      <c r="F52" s="24"/>
      <c r="M52" s="5"/>
    </row>
    <row r="53" spans="1:63" s="80" customFormat="1" x14ac:dyDescent="0.25">
      <c r="A53" s="4" t="s">
        <v>199</v>
      </c>
      <c r="B53" s="13"/>
      <c r="C53" s="13" t="s">
        <v>210</v>
      </c>
      <c r="D53" s="13" t="s">
        <v>211</v>
      </c>
      <c r="E53" s="13" t="s">
        <v>73</v>
      </c>
      <c r="F53" s="82">
        <v>4</v>
      </c>
      <c r="G53" s="181"/>
      <c r="H53" s="82">
        <f>F53*AN53</f>
        <v>0</v>
      </c>
      <c r="I53" s="82">
        <f>F53*AO53</f>
        <v>0</v>
      </c>
      <c r="J53" s="82">
        <f>F53*G53</f>
        <v>0</v>
      </c>
      <c r="K53" s="82">
        <v>7.3899999999999993E-2</v>
      </c>
      <c r="L53" s="82">
        <f>F53*K53</f>
        <v>0.29559999999999997</v>
      </c>
      <c r="M53" s="5"/>
      <c r="Y53" s="33">
        <f>IF(AP53="5",BI53,0)</f>
        <v>0</v>
      </c>
      <c r="AA53" s="33">
        <f>IF(AP53="1",BG53,0)</f>
        <v>0</v>
      </c>
      <c r="AB53" s="33">
        <f>IF(AP53="1",BH53,0)</f>
        <v>0</v>
      </c>
      <c r="AC53" s="33">
        <f>IF(AP53="7",BG53,0)</f>
        <v>0</v>
      </c>
      <c r="AD53" s="33">
        <f>IF(AP53="7",BH53,0)</f>
        <v>0</v>
      </c>
      <c r="AE53" s="33">
        <f>IF(AP53="2",BG53,0)</f>
        <v>0</v>
      </c>
      <c r="AF53" s="33">
        <f>IF(AP53="2",BH53,0)</f>
        <v>0</v>
      </c>
      <c r="AG53" s="33">
        <f>IF(AP53="0",BI53,0)</f>
        <v>0</v>
      </c>
      <c r="AH53" s="30"/>
      <c r="AI53" s="82">
        <f>IF(AM53=0,J53,0)</f>
        <v>0</v>
      </c>
      <c r="AJ53" s="82">
        <f>IF(AM53=15,J53,0)</f>
        <v>0</v>
      </c>
      <c r="AK53" s="82">
        <f>IF(AM53=21,J53,0)</f>
        <v>0</v>
      </c>
      <c r="AM53" s="33">
        <v>21</v>
      </c>
      <c r="AN53" s="33">
        <f>G53*0.142933919736119</f>
        <v>0</v>
      </c>
      <c r="AO53" s="33">
        <f>G53*(1-0.142933919736119)</f>
        <v>0</v>
      </c>
      <c r="AP53" s="34" t="s">
        <v>7</v>
      </c>
      <c r="AU53" s="33">
        <f>AV53+AW53</f>
        <v>0</v>
      </c>
      <c r="AV53" s="33">
        <f>F53*AN53</f>
        <v>0</v>
      </c>
      <c r="AW53" s="33">
        <f>F53*AO53</f>
        <v>0</v>
      </c>
      <c r="AX53" s="35" t="s">
        <v>209</v>
      </c>
      <c r="AY53" s="35" t="s">
        <v>111</v>
      </c>
      <c r="AZ53" s="30" t="s">
        <v>113</v>
      </c>
      <c r="BB53" s="33">
        <f>AV53+AW53</f>
        <v>0</v>
      </c>
      <c r="BC53" s="33">
        <f>G53/(100-BD53)*100</f>
        <v>0</v>
      </c>
      <c r="BD53" s="33">
        <v>0</v>
      </c>
      <c r="BE53" s="33">
        <f>L53</f>
        <v>0.29559999999999997</v>
      </c>
      <c r="BG53" s="82">
        <f>F53*AN53</f>
        <v>0</v>
      </c>
      <c r="BH53" s="82">
        <f>F53*AO53</f>
        <v>0</v>
      </c>
      <c r="BI53" s="82">
        <f>F53*G53</f>
        <v>0</v>
      </c>
      <c r="BJ53" s="82" t="s">
        <v>118</v>
      </c>
      <c r="BK53" s="33">
        <v>59</v>
      </c>
    </row>
    <row r="54" spans="1:63" s="80" customFormat="1" x14ac:dyDescent="0.25">
      <c r="A54" s="5"/>
      <c r="D54" s="19"/>
      <c r="F54" s="24"/>
      <c r="M54" s="5"/>
    </row>
    <row r="55" spans="1:63" s="80" customFormat="1" ht="13.8" thickBot="1" x14ac:dyDescent="0.3">
      <c r="A55" s="4" t="s">
        <v>222</v>
      </c>
      <c r="B55" s="13"/>
      <c r="C55" s="13" t="s">
        <v>213</v>
      </c>
      <c r="D55" s="13" t="s">
        <v>214</v>
      </c>
      <c r="E55" s="13" t="s">
        <v>74</v>
      </c>
      <c r="F55" s="82">
        <v>14</v>
      </c>
      <c r="G55" s="181"/>
      <c r="H55" s="82">
        <f>F55*AN55</f>
        <v>0</v>
      </c>
      <c r="I55" s="82">
        <f>F55*AO55</f>
        <v>0</v>
      </c>
      <c r="J55" s="82">
        <f>F55*G55</f>
        <v>0</v>
      </c>
      <c r="K55" s="82">
        <v>0.22500000000000001</v>
      </c>
      <c r="L55" s="82">
        <f>F55*K55</f>
        <v>3.15</v>
      </c>
      <c r="M55" s="5"/>
      <c r="Y55" s="33">
        <f>IF(AP55="5",BI55,0)</f>
        <v>0</v>
      </c>
      <c r="AA55" s="33">
        <f>IF(AP55="1",BG55,0)</f>
        <v>0</v>
      </c>
      <c r="AB55" s="33">
        <f>IF(AP55="1",BH55,0)</f>
        <v>0</v>
      </c>
      <c r="AC55" s="33">
        <f>IF(AP55="7",BG55,0)</f>
        <v>0</v>
      </c>
      <c r="AD55" s="33">
        <f>IF(AP55="7",BH55,0)</f>
        <v>0</v>
      </c>
      <c r="AE55" s="33">
        <f>IF(AP55="2",BG55,0)</f>
        <v>0</v>
      </c>
      <c r="AF55" s="33">
        <f>IF(AP55="2",BH55,0)</f>
        <v>0</v>
      </c>
      <c r="AG55" s="33">
        <f>IF(AP55="0",BI55,0)</f>
        <v>0</v>
      </c>
      <c r="AH55" s="30"/>
      <c r="AI55" s="82">
        <f>IF(AM55=0,J55,0)</f>
        <v>0</v>
      </c>
      <c r="AJ55" s="82">
        <f>IF(AM55=15,J55,0)</f>
        <v>0</v>
      </c>
      <c r="AK55" s="82">
        <f>IF(AM55=21,J55,0)</f>
        <v>0</v>
      </c>
      <c r="AM55" s="33">
        <v>21</v>
      </c>
      <c r="AN55" s="33">
        <f>G55*0.52734068601804</f>
        <v>0</v>
      </c>
      <c r="AO55" s="33">
        <f>G55*(1-0.52734068601804)</f>
        <v>0</v>
      </c>
      <c r="AP55" s="34" t="s">
        <v>7</v>
      </c>
      <c r="AU55" s="33">
        <f>AV55+AW55</f>
        <v>0</v>
      </c>
      <c r="AV55" s="33">
        <f>F55*AN55</f>
        <v>0</v>
      </c>
      <c r="AW55" s="33">
        <f>F55*AO55</f>
        <v>0</v>
      </c>
      <c r="AX55" s="35" t="s">
        <v>106</v>
      </c>
      <c r="AY55" s="35" t="s">
        <v>112</v>
      </c>
      <c r="AZ55" s="30" t="s">
        <v>113</v>
      </c>
      <c r="BB55" s="33">
        <f>AV55+AW55</f>
        <v>0</v>
      </c>
      <c r="BC55" s="33">
        <f>G55/(100-BD55)*100</f>
        <v>0</v>
      </c>
      <c r="BD55" s="33">
        <v>0</v>
      </c>
      <c r="BE55" s="33">
        <f>L55</f>
        <v>3.15</v>
      </c>
      <c r="BG55" s="82">
        <f>F55*AN55</f>
        <v>0</v>
      </c>
      <c r="BH55" s="82">
        <f>F55*AO55</f>
        <v>0</v>
      </c>
      <c r="BI55" s="82">
        <f>F55*G55</f>
        <v>0</v>
      </c>
      <c r="BJ55" s="82" t="s">
        <v>118</v>
      </c>
      <c r="BK55" s="33">
        <v>91</v>
      </c>
    </row>
    <row r="56" spans="1:63" s="80" customFormat="1" x14ac:dyDescent="0.25">
      <c r="A56" s="14"/>
      <c r="B56" s="14"/>
      <c r="C56" s="14" t="s">
        <v>180</v>
      </c>
      <c r="D56" s="14" t="s">
        <v>181</v>
      </c>
      <c r="E56" s="14" t="s">
        <v>6</v>
      </c>
      <c r="F56" s="14" t="s">
        <v>6</v>
      </c>
      <c r="G56" s="106" t="s">
        <v>6</v>
      </c>
      <c r="H56" s="38">
        <f>SUM(H57:H57)</f>
        <v>0</v>
      </c>
      <c r="I56" s="38">
        <f>SUM(I57:I57)</f>
        <v>0</v>
      </c>
      <c r="J56" s="38">
        <f>SUM(J57:J57)</f>
        <v>0</v>
      </c>
      <c r="K56" s="107"/>
      <c r="L56" s="108">
        <v>0.86</v>
      </c>
      <c r="M56" s="13"/>
      <c r="AH56" s="29"/>
      <c r="AR56" s="37">
        <v>0</v>
      </c>
      <c r="AS56" s="37">
        <v>0</v>
      </c>
      <c r="AT56" s="37">
        <v>10728</v>
      </c>
    </row>
    <row r="57" spans="1:63" s="112" customFormat="1" ht="26.4" x14ac:dyDescent="0.25">
      <c r="A57" s="109" t="s">
        <v>231</v>
      </c>
      <c r="B57" s="109"/>
      <c r="C57" s="109" t="s">
        <v>182</v>
      </c>
      <c r="D57" s="116" t="s">
        <v>195</v>
      </c>
      <c r="E57" s="109" t="s">
        <v>183</v>
      </c>
      <c r="F57" s="110" t="s">
        <v>12</v>
      </c>
      <c r="G57" s="185"/>
      <c r="H57" s="82">
        <f>F57*G57*0.4</f>
        <v>0</v>
      </c>
      <c r="I57" s="82">
        <f>F57*G57*0.6</f>
        <v>0</v>
      </c>
      <c r="J57" s="82">
        <f>F57*G57</f>
        <v>0</v>
      </c>
      <c r="K57" s="111">
        <v>0.43093999999999999</v>
      </c>
      <c r="L57" s="82">
        <f>F57*K57</f>
        <v>2.5856399999999997</v>
      </c>
      <c r="M57" s="109"/>
      <c r="Y57" s="113">
        <v>0</v>
      </c>
      <c r="AA57" s="113">
        <v>2992.9999999999991</v>
      </c>
      <c r="AB57" s="113">
        <v>6487</v>
      </c>
      <c r="AC57" s="113">
        <v>0</v>
      </c>
      <c r="AD57" s="113">
        <v>0</v>
      </c>
      <c r="AE57" s="113">
        <v>0</v>
      </c>
      <c r="AF57" s="113">
        <v>0</v>
      </c>
      <c r="AG57" s="113">
        <v>0</v>
      </c>
      <c r="AH57" s="110"/>
      <c r="AI57" s="114">
        <v>0</v>
      </c>
      <c r="AJ57" s="114">
        <v>0</v>
      </c>
      <c r="AK57" s="114">
        <v>9480</v>
      </c>
      <c r="AM57" s="113">
        <v>21</v>
      </c>
      <c r="AN57" s="113">
        <v>748.24999999999977</v>
      </c>
      <c r="AO57" s="113">
        <v>1621.75</v>
      </c>
      <c r="AP57" s="115" t="s">
        <v>7</v>
      </c>
      <c r="AU57" s="113">
        <v>9480</v>
      </c>
      <c r="AV57" s="113">
        <v>2992.9999999999991</v>
      </c>
      <c r="AW57" s="113">
        <v>6487</v>
      </c>
      <c r="AX57" s="110" t="s">
        <v>184</v>
      </c>
      <c r="AY57" s="110" t="s">
        <v>185</v>
      </c>
      <c r="AZ57" s="110" t="s">
        <v>113</v>
      </c>
      <c r="BB57" s="113">
        <v>9480</v>
      </c>
      <c r="BC57" s="113">
        <v>2370</v>
      </c>
      <c r="BD57" s="113">
        <v>0</v>
      </c>
      <c r="BE57" s="113">
        <v>1.72376</v>
      </c>
      <c r="BG57" s="114">
        <v>2992.9999999999991</v>
      </c>
      <c r="BH57" s="114">
        <v>6487</v>
      </c>
      <c r="BI57" s="114">
        <v>9480</v>
      </c>
      <c r="BJ57" s="114" t="s">
        <v>118</v>
      </c>
      <c r="BK57" s="113">
        <v>89</v>
      </c>
    </row>
    <row r="58" spans="1:63" s="112" customFormat="1" ht="26.4" x14ac:dyDescent="0.25">
      <c r="A58" s="109" t="s">
        <v>232</v>
      </c>
      <c r="B58" s="109"/>
      <c r="C58" s="109" t="s">
        <v>182</v>
      </c>
      <c r="D58" s="116" t="s">
        <v>196</v>
      </c>
      <c r="E58" s="109" t="s">
        <v>183</v>
      </c>
      <c r="F58" s="110" t="s">
        <v>11</v>
      </c>
      <c r="G58" s="185"/>
      <c r="H58" s="82">
        <f>F58*G58*0.4</f>
        <v>0</v>
      </c>
      <c r="I58" s="82">
        <f>F58*G58*0.6</f>
        <v>0</v>
      </c>
      <c r="J58" s="82">
        <f>F58*G58</f>
        <v>0</v>
      </c>
      <c r="K58" s="111">
        <v>0.43093999999999999</v>
      </c>
      <c r="L58" s="82">
        <f>F58*K58</f>
        <v>2.1547000000000001</v>
      </c>
      <c r="M58" s="109"/>
      <c r="Y58" s="113">
        <v>0</v>
      </c>
      <c r="AA58" s="113">
        <v>2992.9999999999991</v>
      </c>
      <c r="AB58" s="113">
        <v>6487</v>
      </c>
      <c r="AC58" s="113">
        <v>0</v>
      </c>
      <c r="AD58" s="113">
        <v>0</v>
      </c>
      <c r="AE58" s="113">
        <v>0</v>
      </c>
      <c r="AF58" s="113">
        <v>0</v>
      </c>
      <c r="AG58" s="113">
        <v>0</v>
      </c>
      <c r="AH58" s="110"/>
      <c r="AI58" s="114">
        <v>0</v>
      </c>
      <c r="AJ58" s="114">
        <v>0</v>
      </c>
      <c r="AK58" s="114">
        <v>9480</v>
      </c>
      <c r="AM58" s="113">
        <v>21</v>
      </c>
      <c r="AN58" s="113">
        <v>748.24999999999977</v>
      </c>
      <c r="AO58" s="113">
        <v>1621.75</v>
      </c>
      <c r="AP58" s="115" t="s">
        <v>7</v>
      </c>
      <c r="AU58" s="113">
        <v>9480</v>
      </c>
      <c r="AV58" s="113">
        <v>2992.9999999999991</v>
      </c>
      <c r="AW58" s="113">
        <v>6487</v>
      </c>
      <c r="AX58" s="110" t="s">
        <v>184</v>
      </c>
      <c r="AY58" s="110" t="s">
        <v>185</v>
      </c>
      <c r="AZ58" s="110" t="s">
        <v>113</v>
      </c>
      <c r="BB58" s="113">
        <v>9480</v>
      </c>
      <c r="BC58" s="113">
        <v>2370</v>
      </c>
      <c r="BD58" s="113">
        <v>0</v>
      </c>
      <c r="BE58" s="113">
        <v>1.72376</v>
      </c>
      <c r="BG58" s="114">
        <v>2992.9999999999991</v>
      </c>
      <c r="BH58" s="114">
        <v>6487</v>
      </c>
      <c r="BI58" s="114">
        <v>9480</v>
      </c>
      <c r="BJ58" s="114" t="s">
        <v>118</v>
      </c>
      <c r="BK58" s="113">
        <v>89</v>
      </c>
    </row>
    <row r="59" spans="1:63" x14ac:dyDescent="0.25">
      <c r="A59" s="119"/>
      <c r="C59" s="17"/>
      <c r="D59" s="78"/>
      <c r="E59" s="79"/>
      <c r="F59" s="79"/>
      <c r="G59" s="79"/>
      <c r="H59" s="79"/>
      <c r="I59" s="79"/>
      <c r="J59" s="79"/>
      <c r="K59" s="79"/>
      <c r="L59" s="79"/>
      <c r="M59" s="5"/>
    </row>
    <row r="60" spans="1:63" x14ac:dyDescent="0.25">
      <c r="A60" s="6"/>
      <c r="B60" s="14"/>
      <c r="C60" s="14" t="s">
        <v>29</v>
      </c>
      <c r="D60" s="14" t="s">
        <v>60</v>
      </c>
      <c r="E60" s="22" t="s">
        <v>6</v>
      </c>
      <c r="F60" s="22" t="s">
        <v>6</v>
      </c>
      <c r="G60" s="22" t="s">
        <v>6</v>
      </c>
      <c r="H60" s="38">
        <f>SUM(H61:H64)</f>
        <v>0</v>
      </c>
      <c r="I60" s="38">
        <f>SUM(I61:I64)</f>
        <v>0</v>
      </c>
      <c r="J60" s="38">
        <f>SUM(J61:J64)</f>
        <v>0</v>
      </c>
      <c r="K60" s="30"/>
      <c r="L60" s="38">
        <f>SUM(L61:L64)</f>
        <v>0.05</v>
      </c>
      <c r="M60" s="5"/>
      <c r="AH60" s="30"/>
      <c r="AR60" s="38">
        <f>SUM(AI61:AI64)</f>
        <v>0</v>
      </c>
      <c r="AS60" s="38">
        <f>SUM(AJ61:AJ64)</f>
        <v>0</v>
      </c>
      <c r="AT60" s="38">
        <f>SUM(AK61:AK64)</f>
        <v>0</v>
      </c>
    </row>
    <row r="61" spans="1:63" x14ac:dyDescent="0.25">
      <c r="A61" s="4" t="s">
        <v>233</v>
      </c>
      <c r="B61" s="13"/>
      <c r="C61" s="13" t="s">
        <v>30</v>
      </c>
      <c r="D61" s="13" t="s">
        <v>61</v>
      </c>
      <c r="E61" s="13" t="s">
        <v>74</v>
      </c>
      <c r="F61" s="82">
        <v>500</v>
      </c>
      <c r="G61" s="181"/>
      <c r="H61" s="82">
        <f>F61*AN61</f>
        <v>0</v>
      </c>
      <c r="I61" s="82">
        <f>F61*AO61</f>
        <v>0</v>
      </c>
      <c r="J61" s="82">
        <f>F61*G61</f>
        <v>0</v>
      </c>
      <c r="K61" s="82">
        <v>1E-4</v>
      </c>
      <c r="L61" s="95">
        <f>F61*K61</f>
        <v>0.05</v>
      </c>
      <c r="M61" s="72"/>
      <c r="Y61" s="33">
        <f>IF(AP61="5",BI61,0)</f>
        <v>0</v>
      </c>
      <c r="AA61" s="33">
        <f>IF(AP61="1",BG61,0)</f>
        <v>0</v>
      </c>
      <c r="AB61" s="33">
        <f>IF(AP61="1",BH61,0)</f>
        <v>0</v>
      </c>
      <c r="AC61" s="33">
        <f>IF(AP61="7",BG61,0)</f>
        <v>0</v>
      </c>
      <c r="AD61" s="33">
        <f>IF(AP61="7",BH61,0)</f>
        <v>0</v>
      </c>
      <c r="AE61" s="33">
        <f>IF(AP61="2",BG61,0)</f>
        <v>0</v>
      </c>
      <c r="AF61" s="33">
        <f>IF(AP61="2",BH61,0)</f>
        <v>0</v>
      </c>
      <c r="AG61" s="33">
        <f>IF(AP61="0",BI61,0)</f>
        <v>0</v>
      </c>
      <c r="AH61" s="30"/>
      <c r="AI61" s="23">
        <f>IF(AM61=0,J61,0)</f>
        <v>0</v>
      </c>
      <c r="AJ61" s="23">
        <f>IF(AM61=15,J61,0)</f>
        <v>0</v>
      </c>
      <c r="AK61" s="23">
        <f>IF(AM61=21,J61,0)</f>
        <v>0</v>
      </c>
      <c r="AM61" s="33">
        <v>21</v>
      </c>
      <c r="AN61" s="33">
        <f>G61*0.0923427957855178</f>
        <v>0</v>
      </c>
      <c r="AO61" s="33">
        <f>G61*(1-0.0923427957855178)</f>
        <v>0</v>
      </c>
      <c r="AP61" s="34" t="s">
        <v>7</v>
      </c>
      <c r="AU61" s="33">
        <f>AV61+AW61</f>
        <v>0</v>
      </c>
      <c r="AV61" s="33">
        <f>F61*AN61</f>
        <v>0</v>
      </c>
      <c r="AW61" s="33">
        <f>F61*AO61</f>
        <v>0</v>
      </c>
      <c r="AX61" s="35" t="s">
        <v>106</v>
      </c>
      <c r="AY61" s="35" t="s">
        <v>112</v>
      </c>
      <c r="AZ61" s="30" t="s">
        <v>113</v>
      </c>
      <c r="BB61" s="33">
        <f>AV61+AW61</f>
        <v>0</v>
      </c>
      <c r="BC61" s="33">
        <f>G61/(100-BD61)*100</f>
        <v>0</v>
      </c>
      <c r="BD61" s="33">
        <v>0</v>
      </c>
      <c r="BE61" s="33">
        <f>L61</f>
        <v>0.05</v>
      </c>
      <c r="BG61" s="23">
        <f>F61*AN61</f>
        <v>0</v>
      </c>
      <c r="BH61" s="23">
        <f>F61*AO61</f>
        <v>0</v>
      </c>
      <c r="BI61" s="23">
        <f>F61*G61</f>
        <v>0</v>
      </c>
      <c r="BJ61" s="23" t="s">
        <v>118</v>
      </c>
      <c r="BK61" s="33">
        <v>91</v>
      </c>
    </row>
    <row r="62" spans="1:63" x14ac:dyDescent="0.25">
      <c r="A62" s="119"/>
      <c r="C62" s="17" t="s">
        <v>26</v>
      </c>
      <c r="D62" s="148" t="s">
        <v>173</v>
      </c>
      <c r="E62" s="145"/>
      <c r="F62" s="145"/>
      <c r="G62" s="145"/>
      <c r="H62" s="145"/>
      <c r="I62" s="145"/>
      <c r="J62" s="145"/>
      <c r="K62" s="145"/>
      <c r="L62" s="145"/>
      <c r="M62" s="72"/>
    </row>
    <row r="63" spans="1:63" x14ac:dyDescent="0.25">
      <c r="A63" s="119"/>
      <c r="D63" s="19"/>
      <c r="F63" s="24"/>
      <c r="M63" s="5"/>
    </row>
    <row r="64" spans="1:63" x14ac:dyDescent="0.25">
      <c r="A64" s="119"/>
      <c r="C64" s="16" t="s">
        <v>18</v>
      </c>
      <c r="D64" s="136" t="s">
        <v>198</v>
      </c>
      <c r="E64" s="137"/>
      <c r="F64" s="137"/>
      <c r="G64" s="137"/>
      <c r="H64" s="137"/>
      <c r="I64" s="137"/>
      <c r="J64" s="137"/>
      <c r="K64" s="137"/>
      <c r="L64" s="137"/>
      <c r="M64" s="5"/>
    </row>
    <row r="65" spans="1:63" x14ac:dyDescent="0.25">
      <c r="A65" s="6"/>
      <c r="B65" s="14"/>
      <c r="C65" s="14" t="s">
        <v>31</v>
      </c>
      <c r="D65" s="14" t="s">
        <v>62</v>
      </c>
      <c r="E65" s="22" t="s">
        <v>6</v>
      </c>
      <c r="F65" s="22" t="s">
        <v>6</v>
      </c>
      <c r="G65" s="22" t="s">
        <v>6</v>
      </c>
      <c r="H65" s="38">
        <f>SUM(H66:H66)</f>
        <v>0</v>
      </c>
      <c r="I65" s="38">
        <f>SUM(I66:I66)</f>
        <v>0</v>
      </c>
      <c r="J65" s="38">
        <f>SUM(J66:J66)</f>
        <v>0</v>
      </c>
      <c r="K65" s="30"/>
      <c r="L65" s="38">
        <f>SUM(L66:L66)</f>
        <v>0</v>
      </c>
      <c r="M65" s="5"/>
      <c r="AH65" s="30"/>
      <c r="AR65" s="38">
        <f>SUM(AI66:AI66)</f>
        <v>0</v>
      </c>
      <c r="AS65" s="38">
        <f>SUM(AJ66:AJ66)</f>
        <v>0</v>
      </c>
      <c r="AT65" s="38">
        <f>SUM(AK66:AK66)</f>
        <v>0</v>
      </c>
    </row>
    <row r="66" spans="1:63" x14ac:dyDescent="0.25">
      <c r="A66" s="73" t="s">
        <v>234</v>
      </c>
      <c r="B66" s="73"/>
      <c r="C66" s="73" t="s">
        <v>32</v>
      </c>
      <c r="D66" s="73" t="s">
        <v>63</v>
      </c>
      <c r="E66" s="73" t="s">
        <v>75</v>
      </c>
      <c r="F66" s="76">
        <f>L40</f>
        <v>932.99604000000011</v>
      </c>
      <c r="G66" s="186"/>
      <c r="H66" s="76">
        <f>F66*AN66</f>
        <v>0</v>
      </c>
      <c r="I66" s="76">
        <f>F66*AO66</f>
        <v>0</v>
      </c>
      <c r="J66" s="76">
        <f>F66*G66</f>
        <v>0</v>
      </c>
      <c r="K66" s="76">
        <v>0</v>
      </c>
      <c r="L66" s="76">
        <f>F66*K66</f>
        <v>0</v>
      </c>
      <c r="M66" s="72"/>
      <c r="Y66" s="33">
        <f>IF(AP66="5",BI66,0)</f>
        <v>0</v>
      </c>
      <c r="AA66" s="33">
        <f>IF(AP66="1",BG66,0)</f>
        <v>0</v>
      </c>
      <c r="AB66" s="33">
        <f>IF(AP66="1",BH66,0)</f>
        <v>0</v>
      </c>
      <c r="AC66" s="33">
        <f>IF(AP66="7",BG66,0)</f>
        <v>0</v>
      </c>
      <c r="AD66" s="33">
        <f>IF(AP66="7",BH66,0)</f>
        <v>0</v>
      </c>
      <c r="AE66" s="33">
        <f>IF(AP66="2",BG66,0)</f>
        <v>0</v>
      </c>
      <c r="AF66" s="33">
        <f>IF(AP66="2",BH66,0)</f>
        <v>0</v>
      </c>
      <c r="AG66" s="33">
        <f>IF(AP66="0",BI66,0)</f>
        <v>0</v>
      </c>
      <c r="AH66" s="30"/>
      <c r="AI66" s="23">
        <f>IF(AM66=0,J66,0)</f>
        <v>0</v>
      </c>
      <c r="AJ66" s="23">
        <f>IF(AM66=15,J66,0)</f>
        <v>0</v>
      </c>
      <c r="AK66" s="23">
        <f>IF(AM66=21,J66,0)</f>
        <v>0</v>
      </c>
      <c r="AM66" s="33">
        <v>21</v>
      </c>
      <c r="AN66" s="33">
        <f>G66*0</f>
        <v>0</v>
      </c>
      <c r="AO66" s="33">
        <f>G66*(1-0)</f>
        <v>0</v>
      </c>
      <c r="AP66" s="34" t="s">
        <v>11</v>
      </c>
      <c r="AU66" s="33">
        <f>AV66+AW66</f>
        <v>0</v>
      </c>
      <c r="AV66" s="33">
        <f>F66*AN66</f>
        <v>0</v>
      </c>
      <c r="AW66" s="33">
        <f>F66*AO66</f>
        <v>0</v>
      </c>
      <c r="AX66" s="35" t="s">
        <v>107</v>
      </c>
      <c r="AY66" s="35" t="s">
        <v>112</v>
      </c>
      <c r="AZ66" s="30" t="s">
        <v>113</v>
      </c>
      <c r="BB66" s="33">
        <f>AV66+AW66</f>
        <v>0</v>
      </c>
      <c r="BC66" s="33">
        <f>G66/(100-BD66)*100</f>
        <v>0</v>
      </c>
      <c r="BD66" s="33">
        <v>0</v>
      </c>
      <c r="BE66" s="33">
        <f>L66</f>
        <v>0</v>
      </c>
      <c r="BG66" s="23">
        <f>F66*AN66</f>
        <v>0</v>
      </c>
      <c r="BH66" s="23">
        <f>F66*AO66</f>
        <v>0</v>
      </c>
      <c r="BI66" s="23">
        <f>F66*G66</f>
        <v>0</v>
      </c>
      <c r="BJ66" s="23" t="s">
        <v>118</v>
      </c>
      <c r="BK66" s="33" t="s">
        <v>31</v>
      </c>
    </row>
    <row r="67" spans="1:63" x14ac:dyDescent="0.25">
      <c r="A67" s="120"/>
      <c r="B67" s="74"/>
      <c r="C67" s="74"/>
      <c r="D67" s="75"/>
      <c r="E67" s="74"/>
      <c r="F67" s="77"/>
      <c r="G67" s="74"/>
      <c r="H67" s="74"/>
      <c r="I67" s="74"/>
      <c r="J67" s="74"/>
      <c r="K67" s="74"/>
      <c r="L67" s="74"/>
      <c r="M67" s="72"/>
    </row>
    <row r="68" spans="1:63" x14ac:dyDescent="0.25">
      <c r="A68" s="6"/>
      <c r="B68" s="14"/>
      <c r="C68" s="14" t="s">
        <v>33</v>
      </c>
      <c r="D68" s="14" t="s">
        <v>64</v>
      </c>
      <c r="E68" s="22" t="s">
        <v>6</v>
      </c>
      <c r="F68" s="22" t="s">
        <v>6</v>
      </c>
      <c r="G68" s="22" t="s">
        <v>6</v>
      </c>
      <c r="H68" s="38">
        <f>SUM(H69:H71)</f>
        <v>0</v>
      </c>
      <c r="I68" s="38">
        <f>SUM(I69:I71)</f>
        <v>0</v>
      </c>
      <c r="J68" s="38">
        <f>SUM(J69:J71)</f>
        <v>0</v>
      </c>
      <c r="K68" s="30"/>
      <c r="L68" s="38">
        <f>SUM(L69:L71)</f>
        <v>0</v>
      </c>
      <c r="M68" s="5"/>
      <c r="AH68" s="30"/>
      <c r="AR68" s="38">
        <f>SUM(AI69:AI71)</f>
        <v>0</v>
      </c>
      <c r="AS68" s="38">
        <f>SUM(AJ69:AJ71)</f>
        <v>0</v>
      </c>
      <c r="AT68" s="38">
        <f>SUM(AK69:AK71)</f>
        <v>0</v>
      </c>
    </row>
    <row r="69" spans="1:63" x14ac:dyDescent="0.25">
      <c r="A69" s="4" t="s">
        <v>235</v>
      </c>
      <c r="B69" s="13"/>
      <c r="C69" s="13" t="s">
        <v>34</v>
      </c>
      <c r="D69" s="13" t="s">
        <v>65</v>
      </c>
      <c r="E69" s="13" t="s">
        <v>75</v>
      </c>
      <c r="F69" s="23">
        <f>L30</f>
        <v>152.9</v>
      </c>
      <c r="G69" s="181"/>
      <c r="H69" s="23">
        <f>F69*AN69</f>
        <v>0</v>
      </c>
      <c r="I69" s="23">
        <f>F69*AO69</f>
        <v>0</v>
      </c>
      <c r="J69" s="23">
        <f>F69*G69</f>
        <v>0</v>
      </c>
      <c r="K69" s="23">
        <v>0</v>
      </c>
      <c r="L69" s="23">
        <f>F69*K69</f>
        <v>0</v>
      </c>
      <c r="M69" s="5"/>
      <c r="Y69" s="33">
        <f>IF(AP69="5",BI69,0)</f>
        <v>0</v>
      </c>
      <c r="AA69" s="33">
        <f>IF(AP69="1",BG69,0)</f>
        <v>0</v>
      </c>
      <c r="AB69" s="33">
        <f>IF(AP69="1",BH69,0)</f>
        <v>0</v>
      </c>
      <c r="AC69" s="33">
        <f>IF(AP69="7",BG69,0)</f>
        <v>0</v>
      </c>
      <c r="AD69" s="33">
        <f>IF(AP69="7",BH69,0)</f>
        <v>0</v>
      </c>
      <c r="AE69" s="33">
        <f>IF(AP69="2",BG69,0)</f>
        <v>0</v>
      </c>
      <c r="AF69" s="33">
        <f>IF(AP69="2",BH69,0)</f>
        <v>0</v>
      </c>
      <c r="AG69" s="33">
        <f>IF(AP69="0",BI69,0)</f>
        <v>0</v>
      </c>
      <c r="AH69" s="30"/>
      <c r="AI69" s="23">
        <f>IF(AM69=0,J69,0)</f>
        <v>0</v>
      </c>
      <c r="AJ69" s="23">
        <f>IF(AM69=15,J69,0)</f>
        <v>0</v>
      </c>
      <c r="AK69" s="23">
        <f>IF(AM69=21,J69,0)</f>
        <v>0</v>
      </c>
      <c r="AM69" s="33">
        <v>21</v>
      </c>
      <c r="AN69" s="33">
        <f>G69*0</f>
        <v>0</v>
      </c>
      <c r="AO69" s="33">
        <f>G69*(1-0)</f>
        <v>0</v>
      </c>
      <c r="AP69" s="34" t="s">
        <v>11</v>
      </c>
      <c r="AU69" s="33">
        <f>AV69+AW69</f>
        <v>0</v>
      </c>
      <c r="AV69" s="33">
        <f>F69*AN69</f>
        <v>0</v>
      </c>
      <c r="AW69" s="33">
        <f>F69*AO69</f>
        <v>0</v>
      </c>
      <c r="AX69" s="35" t="s">
        <v>108</v>
      </c>
      <c r="AY69" s="35" t="s">
        <v>112</v>
      </c>
      <c r="AZ69" s="30" t="s">
        <v>113</v>
      </c>
      <c r="BB69" s="33">
        <f>AV69+AW69</f>
        <v>0</v>
      </c>
      <c r="BC69" s="33">
        <f>G69/(100-BD69)*100</f>
        <v>0</v>
      </c>
      <c r="BD69" s="33">
        <v>0</v>
      </c>
      <c r="BE69" s="33">
        <f>L69</f>
        <v>0</v>
      </c>
      <c r="BG69" s="23">
        <f>F69*AN69</f>
        <v>0</v>
      </c>
      <c r="BH69" s="23">
        <f>F69*AO69</f>
        <v>0</v>
      </c>
      <c r="BI69" s="23">
        <f>F69*G69</f>
        <v>0</v>
      </c>
      <c r="BJ69" s="23" t="s">
        <v>118</v>
      </c>
      <c r="BK69" s="33" t="s">
        <v>33</v>
      </c>
    </row>
    <row r="70" spans="1:63" x14ac:dyDescent="0.25">
      <c r="A70" s="4" t="s">
        <v>236</v>
      </c>
      <c r="B70" s="13"/>
      <c r="C70" s="13" t="s">
        <v>35</v>
      </c>
      <c r="D70" s="13" t="s">
        <v>66</v>
      </c>
      <c r="E70" s="13" t="s">
        <v>75</v>
      </c>
      <c r="F70" s="23">
        <f>F69*5</f>
        <v>764.5</v>
      </c>
      <c r="G70" s="181"/>
      <c r="H70" s="23">
        <f>F70*AN70</f>
        <v>0</v>
      </c>
      <c r="I70" s="23">
        <f>F70*AO70</f>
        <v>0</v>
      </c>
      <c r="J70" s="23">
        <f>F70*G70</f>
        <v>0</v>
      </c>
      <c r="K70" s="23">
        <v>0</v>
      </c>
      <c r="L70" s="23">
        <f>F70*K70</f>
        <v>0</v>
      </c>
      <c r="M70" s="5"/>
      <c r="Y70" s="33">
        <f>IF(AP70="5",BI70,0)</f>
        <v>0</v>
      </c>
      <c r="AA70" s="33">
        <f>IF(AP70="1",BG70,0)</f>
        <v>0</v>
      </c>
      <c r="AB70" s="33">
        <f>IF(AP70="1",BH70,0)</f>
        <v>0</v>
      </c>
      <c r="AC70" s="33">
        <f>IF(AP70="7",BG70,0)</f>
        <v>0</v>
      </c>
      <c r="AD70" s="33">
        <f>IF(AP70="7",BH70,0)</f>
        <v>0</v>
      </c>
      <c r="AE70" s="33">
        <f>IF(AP70="2",BG70,0)</f>
        <v>0</v>
      </c>
      <c r="AF70" s="33">
        <f>IF(AP70="2",BH70,0)</f>
        <v>0</v>
      </c>
      <c r="AG70" s="33">
        <f>IF(AP70="0",BI70,0)</f>
        <v>0</v>
      </c>
      <c r="AH70" s="30"/>
      <c r="AI70" s="23">
        <f>IF(AM70=0,J70,0)</f>
        <v>0</v>
      </c>
      <c r="AJ70" s="23">
        <f>IF(AM70=15,J70,0)</f>
        <v>0</v>
      </c>
      <c r="AK70" s="23">
        <f>IF(AM70=21,J70,0)</f>
        <v>0</v>
      </c>
      <c r="AM70" s="33">
        <v>21</v>
      </c>
      <c r="AN70" s="33">
        <f>G70*0</f>
        <v>0</v>
      </c>
      <c r="AO70" s="33">
        <f>G70*(1-0)</f>
        <v>0</v>
      </c>
      <c r="AP70" s="34" t="s">
        <v>11</v>
      </c>
      <c r="AU70" s="33">
        <f>AV70+AW70</f>
        <v>0</v>
      </c>
      <c r="AV70" s="33">
        <f>F70*AN70</f>
        <v>0</v>
      </c>
      <c r="AW70" s="33">
        <f>F70*AO70</f>
        <v>0</v>
      </c>
      <c r="AX70" s="35" t="s">
        <v>108</v>
      </c>
      <c r="AY70" s="35" t="s">
        <v>112</v>
      </c>
      <c r="AZ70" s="30" t="s">
        <v>113</v>
      </c>
      <c r="BB70" s="33">
        <f>AV70+AW70</f>
        <v>0</v>
      </c>
      <c r="BC70" s="33">
        <f>G70/(100-BD70)*100</f>
        <v>0</v>
      </c>
      <c r="BD70" s="33">
        <v>0</v>
      </c>
      <c r="BE70" s="33">
        <f>L70</f>
        <v>0</v>
      </c>
      <c r="BG70" s="23">
        <f>F70*AN70</f>
        <v>0</v>
      </c>
      <c r="BH70" s="23">
        <f>F70*AO70</f>
        <v>0</v>
      </c>
      <c r="BI70" s="23">
        <f>F70*G70</f>
        <v>0</v>
      </c>
      <c r="BJ70" s="23" t="s">
        <v>118</v>
      </c>
      <c r="BK70" s="33" t="s">
        <v>33</v>
      </c>
    </row>
    <row r="71" spans="1:63" x14ac:dyDescent="0.25">
      <c r="A71" s="5"/>
      <c r="D71" s="19" t="s">
        <v>201</v>
      </c>
      <c r="F71" s="24" t="s">
        <v>6</v>
      </c>
      <c r="M71" s="5"/>
    </row>
    <row r="72" spans="1:63" s="80" customFormat="1" x14ac:dyDescent="0.25">
      <c r="A72" s="4" t="s">
        <v>237</v>
      </c>
      <c r="B72" s="13"/>
      <c r="C72" s="13" t="s">
        <v>218</v>
      </c>
      <c r="D72" s="13" t="s">
        <v>219</v>
      </c>
      <c r="E72" s="13" t="s">
        <v>75</v>
      </c>
      <c r="F72" s="82">
        <f>L37+L38</f>
        <v>16.425000000000001</v>
      </c>
      <c r="G72" s="181"/>
      <c r="H72" s="82">
        <f>F72*AN72</f>
        <v>0</v>
      </c>
      <c r="I72" s="82">
        <f>F72*AO72</f>
        <v>0</v>
      </c>
      <c r="J72" s="82">
        <f>F72*G72</f>
        <v>0</v>
      </c>
      <c r="K72" s="82">
        <v>0</v>
      </c>
      <c r="L72" s="82">
        <f>F72*K72</f>
        <v>0</v>
      </c>
      <c r="M72" s="5"/>
      <c r="Y72" s="33">
        <f>IF(AP72="5",BI72,0)</f>
        <v>0</v>
      </c>
      <c r="AA72" s="33">
        <f>IF(AP72="1",BG72,0)</f>
        <v>0</v>
      </c>
      <c r="AB72" s="33">
        <f>IF(AP72="1",BH72,0)</f>
        <v>0</v>
      </c>
      <c r="AC72" s="33">
        <f>IF(AP72="7",BG72,0)</f>
        <v>0</v>
      </c>
      <c r="AD72" s="33">
        <f>IF(AP72="7",BH72,0)</f>
        <v>0</v>
      </c>
      <c r="AE72" s="33">
        <f>IF(AP72="2",BG72,0)</f>
        <v>0</v>
      </c>
      <c r="AF72" s="33">
        <f>IF(AP72="2",BH72,0)</f>
        <v>0</v>
      </c>
      <c r="AG72" s="33">
        <f>IF(AP72="0",BI72,0)</f>
        <v>0</v>
      </c>
      <c r="AH72" s="30"/>
      <c r="AI72" s="82">
        <f>IF(AM72=0,J72,0)</f>
        <v>0</v>
      </c>
      <c r="AJ72" s="82">
        <f>IF(AM72=15,J72,0)</f>
        <v>0</v>
      </c>
      <c r="AK72" s="82">
        <f>IF(AM72=21,J72,0)</f>
        <v>0</v>
      </c>
      <c r="AM72" s="33">
        <v>21</v>
      </c>
      <c r="AN72" s="33">
        <f>G72*0</f>
        <v>0</v>
      </c>
      <c r="AO72" s="33">
        <f>G72*(1-0)</f>
        <v>0</v>
      </c>
      <c r="AP72" s="34" t="s">
        <v>11</v>
      </c>
      <c r="AU72" s="33">
        <f>AV72+AW72</f>
        <v>0</v>
      </c>
      <c r="AV72" s="33">
        <f>F72*AN72</f>
        <v>0</v>
      </c>
      <c r="AW72" s="33">
        <f>F72*AO72</f>
        <v>0</v>
      </c>
      <c r="AX72" s="35" t="s">
        <v>108</v>
      </c>
      <c r="AY72" s="35" t="s">
        <v>112</v>
      </c>
      <c r="AZ72" s="30" t="s">
        <v>113</v>
      </c>
      <c r="BB72" s="33">
        <f>AV72+AW72</f>
        <v>0</v>
      </c>
      <c r="BC72" s="33">
        <f>G72/(100-BD72)*100</f>
        <v>0</v>
      </c>
      <c r="BD72" s="33">
        <v>0</v>
      </c>
      <c r="BE72" s="33">
        <f>L72</f>
        <v>0</v>
      </c>
      <c r="BG72" s="82">
        <f>F72*AN72</f>
        <v>0</v>
      </c>
      <c r="BH72" s="82">
        <f>F72*AO72</f>
        <v>0</v>
      </c>
      <c r="BI72" s="82">
        <f>F72*G72</f>
        <v>0</v>
      </c>
      <c r="BJ72" s="82" t="s">
        <v>118</v>
      </c>
      <c r="BK72" s="33" t="s">
        <v>33</v>
      </c>
    </row>
    <row r="73" spans="1:63" s="80" customFormat="1" x14ac:dyDescent="0.25">
      <c r="A73" s="4" t="s">
        <v>238</v>
      </c>
      <c r="B73" s="13"/>
      <c r="C73" s="13" t="s">
        <v>220</v>
      </c>
      <c r="D73" s="13" t="s">
        <v>221</v>
      </c>
      <c r="E73" s="13" t="s">
        <v>75</v>
      </c>
      <c r="F73" s="82">
        <f>F72*9</f>
        <v>147.82500000000002</v>
      </c>
      <c r="G73" s="181"/>
      <c r="H73" s="82">
        <f>F73*AN73</f>
        <v>0</v>
      </c>
      <c r="I73" s="82">
        <f>F73*AO73</f>
        <v>0</v>
      </c>
      <c r="J73" s="82">
        <f>F73*G73</f>
        <v>0</v>
      </c>
      <c r="K73" s="82">
        <v>0</v>
      </c>
      <c r="L73" s="82">
        <f>F73*K73</f>
        <v>0</v>
      </c>
      <c r="M73" s="5"/>
      <c r="Y73" s="33">
        <f>IF(AP73="5",BI73,0)</f>
        <v>0</v>
      </c>
      <c r="AA73" s="33">
        <f>IF(AP73="1",BG73,0)</f>
        <v>0</v>
      </c>
      <c r="AB73" s="33">
        <f>IF(AP73="1",BH73,0)</f>
        <v>0</v>
      </c>
      <c r="AC73" s="33">
        <f>IF(AP73="7",BG73,0)</f>
        <v>0</v>
      </c>
      <c r="AD73" s="33">
        <f>IF(AP73="7",BH73,0)</f>
        <v>0</v>
      </c>
      <c r="AE73" s="33">
        <f>IF(AP73="2",BG73,0)</f>
        <v>0</v>
      </c>
      <c r="AF73" s="33">
        <f>IF(AP73="2",BH73,0)</f>
        <v>0</v>
      </c>
      <c r="AG73" s="33">
        <f>IF(AP73="0",BI73,0)</f>
        <v>0</v>
      </c>
      <c r="AH73" s="30"/>
      <c r="AI73" s="82">
        <f>IF(AM73=0,J73,0)</f>
        <v>0</v>
      </c>
      <c r="AJ73" s="82">
        <f>IF(AM73=15,J73,0)</f>
        <v>0</v>
      </c>
      <c r="AK73" s="82">
        <f>IF(AM73=21,J73,0)</f>
        <v>0</v>
      </c>
      <c r="AM73" s="33">
        <v>21</v>
      </c>
      <c r="AN73" s="33">
        <f>G73*0</f>
        <v>0</v>
      </c>
      <c r="AO73" s="33">
        <f>G73*(1-0)</f>
        <v>0</v>
      </c>
      <c r="AP73" s="34" t="s">
        <v>11</v>
      </c>
      <c r="AU73" s="33">
        <f>AV73+AW73</f>
        <v>0</v>
      </c>
      <c r="AV73" s="33">
        <f>F73*AN73</f>
        <v>0</v>
      </c>
      <c r="AW73" s="33">
        <f>F73*AO73</f>
        <v>0</v>
      </c>
      <c r="AX73" s="35" t="s">
        <v>108</v>
      </c>
      <c r="AY73" s="35" t="s">
        <v>112</v>
      </c>
      <c r="AZ73" s="30" t="s">
        <v>113</v>
      </c>
      <c r="BB73" s="33">
        <f>AV73+AW73</f>
        <v>0</v>
      </c>
      <c r="BC73" s="33">
        <f>G73/(100-BD73)*100</f>
        <v>0</v>
      </c>
      <c r="BD73" s="33">
        <v>0</v>
      </c>
      <c r="BE73" s="33">
        <f>L73</f>
        <v>0</v>
      </c>
      <c r="BG73" s="82">
        <f>F73*AN73</f>
        <v>0</v>
      </c>
      <c r="BH73" s="82">
        <f>F73*AO73</f>
        <v>0</v>
      </c>
      <c r="BI73" s="82">
        <f>F73*G73</f>
        <v>0</v>
      </c>
      <c r="BJ73" s="82" t="s">
        <v>118</v>
      </c>
      <c r="BK73" s="33" t="s">
        <v>33</v>
      </c>
    </row>
    <row r="74" spans="1:63" s="80" customFormat="1" x14ac:dyDescent="0.25">
      <c r="A74" s="4" t="s">
        <v>239</v>
      </c>
      <c r="B74" s="13"/>
      <c r="C74" s="13" t="s">
        <v>223</v>
      </c>
      <c r="D74" s="13" t="s">
        <v>224</v>
      </c>
      <c r="E74" s="13" t="s">
        <v>75</v>
      </c>
      <c r="F74" s="82">
        <f>F72</f>
        <v>16.425000000000001</v>
      </c>
      <c r="G74" s="181"/>
      <c r="H74" s="82">
        <f>F74*AN74</f>
        <v>0</v>
      </c>
      <c r="I74" s="82">
        <f>F74*AO74</f>
        <v>0</v>
      </c>
      <c r="J74" s="82">
        <f>F74*G74</f>
        <v>0</v>
      </c>
      <c r="K74" s="82">
        <v>0</v>
      </c>
      <c r="L74" s="82">
        <f>F74*K74</f>
        <v>0</v>
      </c>
      <c r="M74" s="5"/>
      <c r="Y74" s="33">
        <f>IF(AP74="5",BI74,0)</f>
        <v>0</v>
      </c>
      <c r="AA74" s="33">
        <f>IF(AP74="1",BG74,0)</f>
        <v>0</v>
      </c>
      <c r="AB74" s="33">
        <f>IF(AP74="1",BH74,0)</f>
        <v>0</v>
      </c>
      <c r="AC74" s="33">
        <f>IF(AP74="7",BG74,0)</f>
        <v>0</v>
      </c>
      <c r="AD74" s="33">
        <f>IF(AP74="7",BH74,0)</f>
        <v>0</v>
      </c>
      <c r="AE74" s="33">
        <f>IF(AP74="2",BG74,0)</f>
        <v>0</v>
      </c>
      <c r="AF74" s="33">
        <f>IF(AP74="2",BH74,0)</f>
        <v>0</v>
      </c>
      <c r="AG74" s="33">
        <f>IF(AP74="0",BI74,0)</f>
        <v>0</v>
      </c>
      <c r="AH74" s="30"/>
      <c r="AI74" s="82">
        <f>IF(AM74=0,J74,0)</f>
        <v>0</v>
      </c>
      <c r="AJ74" s="82">
        <f>IF(AM74=15,J74,0)</f>
        <v>0</v>
      </c>
      <c r="AK74" s="82">
        <f>IF(AM74=21,J74,0)</f>
        <v>0</v>
      </c>
      <c r="AM74" s="33">
        <v>21</v>
      </c>
      <c r="AN74" s="33">
        <f>G74*0</f>
        <v>0</v>
      </c>
      <c r="AO74" s="33">
        <f>G74*(1-0)</f>
        <v>0</v>
      </c>
      <c r="AP74" s="34" t="s">
        <v>11</v>
      </c>
      <c r="AU74" s="33">
        <f>AV74+AW74</f>
        <v>0</v>
      </c>
      <c r="AV74" s="33">
        <f>F74*AN74</f>
        <v>0</v>
      </c>
      <c r="AW74" s="33">
        <f>F74*AO74</f>
        <v>0</v>
      </c>
      <c r="AX74" s="35" t="s">
        <v>108</v>
      </c>
      <c r="AY74" s="35" t="s">
        <v>112</v>
      </c>
      <c r="AZ74" s="30" t="s">
        <v>113</v>
      </c>
      <c r="BB74" s="33">
        <f>AV74+AW74</f>
        <v>0</v>
      </c>
      <c r="BC74" s="33">
        <f>G74/(100-BD74)*100</f>
        <v>0</v>
      </c>
      <c r="BD74" s="33">
        <v>0</v>
      </c>
      <c r="BE74" s="33">
        <f>L74</f>
        <v>0</v>
      </c>
      <c r="BG74" s="82">
        <f>F74*AN74</f>
        <v>0</v>
      </c>
      <c r="BH74" s="82">
        <f>F74*AO74</f>
        <v>0</v>
      </c>
      <c r="BI74" s="82">
        <f>F74*G74</f>
        <v>0</v>
      </c>
      <c r="BJ74" s="82" t="s">
        <v>118</v>
      </c>
      <c r="BK74" s="33" t="s">
        <v>33</v>
      </c>
    </row>
    <row r="75" spans="1:63" s="80" customFormat="1" x14ac:dyDescent="0.25">
      <c r="A75" s="72"/>
      <c r="D75" s="19"/>
      <c r="F75" s="24"/>
      <c r="M75" s="72"/>
    </row>
    <row r="76" spans="1:63" x14ac:dyDescent="0.25">
      <c r="A76" s="8"/>
      <c r="B76" s="8"/>
      <c r="C76" s="8"/>
      <c r="D76" s="8"/>
      <c r="E76" s="8"/>
      <c r="F76" s="8"/>
      <c r="G76" s="8"/>
      <c r="H76" s="146" t="s">
        <v>85</v>
      </c>
      <c r="I76" s="147"/>
      <c r="J76" s="39">
        <f>ROUND(J12+J27+J30+J40+J56+J60+J65+J68,0)</f>
        <v>0</v>
      </c>
      <c r="K76" s="8"/>
      <c r="L76" s="8"/>
    </row>
    <row r="77" spans="1:63" ht="11.25" customHeight="1" x14ac:dyDescent="0.25">
      <c r="A77" s="9" t="s">
        <v>18</v>
      </c>
    </row>
    <row r="78" spans="1:63" x14ac:dyDescent="0.25">
      <c r="A78" s="131" t="s">
        <v>19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</row>
  </sheetData>
  <sheetProtection algorithmName="SHA-512" hashValue="PE18Ma4SZRiTfCrJTb0eJo3UA0JR5DSoa4kx3UQLmW3sAAAkOXDXSkcyi0YxwIrDAvfbqCOgVQJLqkjddKIbtw==" saltValue="GonyqUQ+6w6rKNa5LTSvSQ==" spinCount="100000" sheet="1" objects="1" scenarios="1"/>
  <mergeCells count="43">
    <mergeCell ref="D34:L34"/>
    <mergeCell ref="D36:L36"/>
    <mergeCell ref="D42:L42"/>
    <mergeCell ref="H76:I76"/>
    <mergeCell ref="A78:L78"/>
    <mergeCell ref="D62:L62"/>
    <mergeCell ref="D64:L64"/>
    <mergeCell ref="D22:L22"/>
    <mergeCell ref="D24:L24"/>
    <mergeCell ref="D26:L26"/>
    <mergeCell ref="D29:L29"/>
    <mergeCell ref="D32:L32"/>
    <mergeCell ref="D20:L20"/>
    <mergeCell ref="A8:C9"/>
    <mergeCell ref="D8:D9"/>
    <mergeCell ref="E8:F9"/>
    <mergeCell ref="G8:G9"/>
    <mergeCell ref="H8:H9"/>
    <mergeCell ref="I8:L9"/>
    <mergeCell ref="H10:J10"/>
    <mergeCell ref="K10:L10"/>
    <mergeCell ref="D14:L14"/>
    <mergeCell ref="D16:L16"/>
    <mergeCell ref="D18:L18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A1:L1"/>
    <mergeCell ref="A2:C3"/>
    <mergeCell ref="D2:D3"/>
    <mergeCell ref="E2:F3"/>
    <mergeCell ref="G2:G3"/>
    <mergeCell ref="H2:H3"/>
    <mergeCell ref="I2:L3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10" topLeftCell="A11" activePane="bottomLeft" state="frozenSplit"/>
      <selection pane="bottomLeft" activeCell="D21" sqref="D21"/>
    </sheetView>
  </sheetViews>
  <sheetFormatPr defaultColWidth="11.5546875" defaultRowHeight="13.2" x14ac:dyDescent="0.25"/>
  <cols>
    <col min="1" max="2" width="16.5546875" customWidth="1"/>
    <col min="3" max="3" width="68.5546875" customWidth="1"/>
    <col min="4" max="4" width="22.109375" customWidth="1"/>
    <col min="5" max="5" width="21" customWidth="1"/>
    <col min="6" max="6" width="20.88671875" customWidth="1"/>
    <col min="7" max="7" width="19.6640625" customWidth="1"/>
    <col min="8" max="9" width="0" hidden="1" customWidth="1"/>
  </cols>
  <sheetData>
    <row r="1" spans="1:9" ht="72.900000000000006" customHeight="1" x14ac:dyDescent="0.25">
      <c r="A1" s="1" t="s">
        <v>120</v>
      </c>
      <c r="B1" s="122"/>
      <c r="C1" s="122"/>
      <c r="D1" s="122"/>
      <c r="E1" s="122"/>
      <c r="F1" s="122"/>
      <c r="G1" s="122"/>
    </row>
    <row r="2" spans="1:9" x14ac:dyDescent="0.25">
      <c r="A2" s="123" t="s">
        <v>1</v>
      </c>
      <c r="B2" s="127" t="str">
        <f>'Stavební rozpočet'!D2</f>
        <v>Oprava povrchu komunikace č. 42b "Kosov příjezdová" - 2. úsek</v>
      </c>
      <c r="C2" s="147"/>
      <c r="D2" s="130" t="s">
        <v>79</v>
      </c>
      <c r="E2" s="130" t="str">
        <f>'Stavební rozpočet'!I2</f>
        <v>Statutární město Jihlava</v>
      </c>
      <c r="F2" s="124"/>
      <c r="G2" s="149"/>
      <c r="H2" s="5"/>
    </row>
    <row r="3" spans="1:9" x14ac:dyDescent="0.25">
      <c r="A3" s="125"/>
      <c r="B3" s="128"/>
      <c r="C3" s="128"/>
      <c r="D3" s="126"/>
      <c r="E3" s="126"/>
      <c r="F3" s="126"/>
      <c r="G3" s="135"/>
      <c r="H3" s="5"/>
    </row>
    <row r="4" spans="1:9" x14ac:dyDescent="0.25">
      <c r="A4" s="132" t="s">
        <v>2</v>
      </c>
      <c r="B4" s="131" t="str">
        <f>'Stavební rozpočet'!D4</f>
        <v xml:space="preserve"> </v>
      </c>
      <c r="C4" s="126"/>
      <c r="D4" s="131" t="s">
        <v>80</v>
      </c>
      <c r="E4" s="131" t="str">
        <f>'Stavební rozpočet'!I4</f>
        <v> </v>
      </c>
      <c r="F4" s="126"/>
      <c r="G4" s="135"/>
      <c r="H4" s="5"/>
    </row>
    <row r="5" spans="1:9" x14ac:dyDescent="0.25">
      <c r="A5" s="125"/>
      <c r="B5" s="126"/>
      <c r="C5" s="126"/>
      <c r="D5" s="126"/>
      <c r="E5" s="126"/>
      <c r="F5" s="126"/>
      <c r="G5" s="135"/>
      <c r="H5" s="5"/>
    </row>
    <row r="6" spans="1:9" x14ac:dyDescent="0.25">
      <c r="A6" s="132" t="s">
        <v>3</v>
      </c>
      <c r="B6" s="131" t="str">
        <f>'Stavební rozpočet'!D6</f>
        <v>Jihlava</v>
      </c>
      <c r="C6" s="126"/>
      <c r="D6" s="131" t="s">
        <v>81</v>
      </c>
      <c r="E6" s="131" t="str">
        <f>'Stavební rozpočet'!I6</f>
        <v>dle výběrového řízení</v>
      </c>
      <c r="F6" s="126"/>
      <c r="G6" s="135"/>
      <c r="H6" s="5"/>
    </row>
    <row r="7" spans="1:9" x14ac:dyDescent="0.25">
      <c r="A7" s="125"/>
      <c r="B7" s="126"/>
      <c r="C7" s="126"/>
      <c r="D7" s="126"/>
      <c r="E7" s="126"/>
      <c r="F7" s="126"/>
      <c r="G7" s="135"/>
      <c r="H7" s="5"/>
    </row>
    <row r="8" spans="1:9" x14ac:dyDescent="0.25">
      <c r="A8" s="132" t="s">
        <v>82</v>
      </c>
      <c r="B8" s="131" t="str">
        <f>'Stavební rozpočet'!I8</f>
        <v>Ing. Bc. Karel Trojan</v>
      </c>
      <c r="C8" s="126"/>
      <c r="D8" s="133" t="s">
        <v>70</v>
      </c>
      <c r="E8" s="131" t="str">
        <f>'Stavební rozpočet'!G8</f>
        <v>22.01.2026</v>
      </c>
      <c r="F8" s="126"/>
      <c r="G8" s="135"/>
      <c r="H8" s="5"/>
    </row>
    <row r="9" spans="1:9" ht="13.8" thickBot="1" x14ac:dyDescent="0.3">
      <c r="A9" s="138"/>
      <c r="B9" s="139"/>
      <c r="C9" s="139"/>
      <c r="D9" s="139"/>
      <c r="E9" s="139"/>
      <c r="F9" s="139"/>
      <c r="G9" s="150"/>
      <c r="H9" s="5"/>
    </row>
    <row r="10" spans="1:9" ht="13.8" thickBot="1" x14ac:dyDescent="0.3">
      <c r="A10" s="40" t="s">
        <v>20</v>
      </c>
      <c r="B10" s="44" t="s">
        <v>21</v>
      </c>
      <c r="C10" s="47" t="s">
        <v>121</v>
      </c>
      <c r="D10" s="48" t="s">
        <v>122</v>
      </c>
      <c r="E10" s="48" t="s">
        <v>123</v>
      </c>
      <c r="F10" s="48" t="s">
        <v>124</v>
      </c>
      <c r="G10" s="49" t="s">
        <v>125</v>
      </c>
      <c r="H10" s="32"/>
    </row>
    <row r="11" spans="1:9" x14ac:dyDescent="0.25">
      <c r="A11" s="41"/>
      <c r="B11" s="45" t="s">
        <v>22</v>
      </c>
      <c r="C11" s="45" t="s">
        <v>39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126</v>
      </c>
      <c r="I11" s="33">
        <f t="shared" ref="I11:I18" si="0">IF(H11="F",0,F11)</f>
        <v>0</v>
      </c>
    </row>
    <row r="12" spans="1:9" x14ac:dyDescent="0.25">
      <c r="A12" s="42"/>
      <c r="B12" s="20" t="s">
        <v>24</v>
      </c>
      <c r="C12" s="20" t="s">
        <v>53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126</v>
      </c>
      <c r="I12" s="33">
        <f t="shared" si="0"/>
        <v>0</v>
      </c>
    </row>
    <row r="13" spans="1:9" x14ac:dyDescent="0.25">
      <c r="A13" s="42"/>
      <c r="B13" s="20" t="s">
        <v>16</v>
      </c>
      <c r="C13" s="20" t="s">
        <v>56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152.9</v>
      </c>
      <c r="H13" s="50" t="s">
        <v>126</v>
      </c>
      <c r="I13" s="33">
        <f t="shared" si="0"/>
        <v>0</v>
      </c>
    </row>
    <row r="14" spans="1:9" x14ac:dyDescent="0.25">
      <c r="A14" s="42"/>
      <c r="B14" s="20" t="s">
        <v>27</v>
      </c>
      <c r="C14" s="89" t="s">
        <v>57</v>
      </c>
      <c r="D14" s="33">
        <f>'Stavební rozpočet'!H40</f>
        <v>0</v>
      </c>
      <c r="E14" s="33">
        <f>'Stavební rozpočet'!I40</f>
        <v>0</v>
      </c>
      <c r="F14" s="33">
        <f>'Stavební rozpočet'!J40</f>
        <v>0</v>
      </c>
      <c r="G14" s="54">
        <f>'Stavební rozpočet'!L40</f>
        <v>932.99604000000011</v>
      </c>
      <c r="H14" s="50" t="s">
        <v>126</v>
      </c>
      <c r="I14" s="33">
        <f t="shared" si="0"/>
        <v>0</v>
      </c>
    </row>
    <row r="15" spans="1:9" s="80" customFormat="1" x14ac:dyDescent="0.25">
      <c r="A15" s="42"/>
      <c r="B15" s="92" t="s">
        <v>180</v>
      </c>
      <c r="C15" s="89" t="s">
        <v>181</v>
      </c>
      <c r="D15" s="33">
        <f>'Stavební rozpočet'!H56</f>
        <v>0</v>
      </c>
      <c r="E15" s="33">
        <f>'Stavební rozpočet'!I56</f>
        <v>0</v>
      </c>
      <c r="F15" s="33">
        <f>'Stavební rozpočet'!J56</f>
        <v>0</v>
      </c>
      <c r="G15" s="54">
        <f>'Stavební rozpočet'!L56</f>
        <v>0.86</v>
      </c>
      <c r="H15" s="50"/>
      <c r="I15" s="33"/>
    </row>
    <row r="16" spans="1:9" x14ac:dyDescent="0.25">
      <c r="A16" s="42"/>
      <c r="B16" s="20" t="s">
        <v>29</v>
      </c>
      <c r="C16" s="20" t="s">
        <v>60</v>
      </c>
      <c r="D16" s="33">
        <f>'Stavební rozpočet'!H60</f>
        <v>0</v>
      </c>
      <c r="E16" s="33">
        <f>'Stavební rozpočet'!I60</f>
        <v>0</v>
      </c>
      <c r="F16" s="33">
        <f>'Stavební rozpočet'!J60</f>
        <v>0</v>
      </c>
      <c r="G16" s="54">
        <f>'Stavební rozpočet'!L60</f>
        <v>0.05</v>
      </c>
      <c r="H16" s="50" t="s">
        <v>126</v>
      </c>
      <c r="I16" s="33">
        <f t="shared" si="0"/>
        <v>0</v>
      </c>
    </row>
    <row r="17" spans="1:9" x14ac:dyDescent="0.25">
      <c r="A17" s="42"/>
      <c r="B17" s="20" t="s">
        <v>31</v>
      </c>
      <c r="C17" s="20" t="s">
        <v>62</v>
      </c>
      <c r="D17" s="33">
        <f>'Stavební rozpočet'!H65</f>
        <v>0</v>
      </c>
      <c r="E17" s="33">
        <f>'Stavební rozpočet'!I65</f>
        <v>0</v>
      </c>
      <c r="F17" s="33">
        <f>'Stavební rozpočet'!J65</f>
        <v>0</v>
      </c>
      <c r="G17" s="54">
        <f>'Stavební rozpočet'!L65</f>
        <v>0</v>
      </c>
      <c r="H17" s="50" t="s">
        <v>126</v>
      </c>
      <c r="I17" s="33">
        <f t="shared" si="0"/>
        <v>0</v>
      </c>
    </row>
    <row r="18" spans="1:9" x14ac:dyDescent="0.25">
      <c r="A18" s="43"/>
      <c r="B18" s="46" t="s">
        <v>33</v>
      </c>
      <c r="C18" s="46" t="s">
        <v>64</v>
      </c>
      <c r="D18" s="52">
        <f>'Stavební rozpočet'!H68</f>
        <v>0</v>
      </c>
      <c r="E18" s="52">
        <f>'Stavební rozpočet'!I68</f>
        <v>0</v>
      </c>
      <c r="F18" s="52">
        <f>'Stavební rozpočet'!J68</f>
        <v>0</v>
      </c>
      <c r="G18" s="55">
        <f>'Stavební rozpočet'!L68</f>
        <v>0</v>
      </c>
      <c r="H18" s="50" t="s">
        <v>126</v>
      </c>
      <c r="I18" s="33">
        <f t="shared" si="0"/>
        <v>0</v>
      </c>
    </row>
    <row r="19" spans="1:9" x14ac:dyDescent="0.25">
      <c r="A19" s="83" t="s">
        <v>85</v>
      </c>
      <c r="B19" s="8"/>
      <c r="C19" s="8"/>
      <c r="D19" s="91">
        <f>SUM(D11:D18)</f>
        <v>0</v>
      </c>
      <c r="E19" s="84">
        <f>SUM(E11:E18)</f>
        <v>0</v>
      </c>
      <c r="F19" s="39">
        <f>ROUND(F11+F12+F13+F14+F15+F16+F17+F18,0)</f>
        <v>0</v>
      </c>
      <c r="G19" s="8"/>
    </row>
    <row r="20" spans="1:9" x14ac:dyDescent="0.25">
      <c r="E20" s="85"/>
    </row>
    <row r="21" spans="1:9" x14ac:dyDescent="0.25">
      <c r="D21" s="85"/>
      <c r="E21" s="85"/>
    </row>
    <row r="22" spans="1:9" x14ac:dyDescent="0.25">
      <c r="E22" s="85"/>
    </row>
    <row r="23" spans="1:9" x14ac:dyDescent="0.25">
      <c r="E23" s="85"/>
    </row>
    <row r="24" spans="1:9" x14ac:dyDescent="0.25">
      <c r="E24" s="85"/>
    </row>
    <row r="25" spans="1:9" x14ac:dyDescent="0.25">
      <c r="E25" s="85"/>
    </row>
  </sheetData>
  <sheetProtection algorithmName="SHA-512" hashValue="8eSHkaz9MrBCkoJFweIOGGQf3WK79O2GC3P1l2tDHhIZaMBxavIOxnctHICKYAdZzHVMvovCsqfKGXt+/n4ygg==" saltValue="x2PgrhZHb/X/WLFVBka5Xw==" spinCount="100000" sheet="1" objects="1" scenarios="1"/>
  <mergeCells count="17">
    <mergeCell ref="A6:A7"/>
    <mergeCell ref="B6:C7"/>
    <mergeCell ref="D6:D7"/>
    <mergeCell ref="E6:G7"/>
    <mergeCell ref="A8:A9"/>
    <mergeCell ref="B8:C9"/>
    <mergeCell ref="D8:D9"/>
    <mergeCell ref="E8:G9"/>
    <mergeCell ref="A4:A5"/>
    <mergeCell ref="B4:C5"/>
    <mergeCell ref="D4:D5"/>
    <mergeCell ref="E4:G5"/>
    <mergeCell ref="A1:G1"/>
    <mergeCell ref="A2:A3"/>
    <mergeCell ref="B2:C3"/>
    <mergeCell ref="D2:D3"/>
    <mergeCell ref="E2:G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A37" sqref="A37:I38"/>
    </sheetView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2.900000000000006" customHeight="1" x14ac:dyDescent="0.25">
      <c r="A1" s="69"/>
      <c r="B1" s="15"/>
      <c r="C1" s="151" t="s">
        <v>142</v>
      </c>
      <c r="D1" s="122"/>
      <c r="E1" s="122"/>
      <c r="F1" s="122"/>
      <c r="G1" s="122"/>
      <c r="H1" s="122"/>
      <c r="I1" s="122"/>
    </row>
    <row r="2" spans="1:10" x14ac:dyDescent="0.25">
      <c r="A2" s="123" t="s">
        <v>1</v>
      </c>
      <c r="B2" s="124"/>
      <c r="C2" s="127" t="str">
        <f>'Stavební rozpočet'!D2</f>
        <v>Oprava povrchu komunikace č. 42b "Kosov příjezdová" - 2. úsek</v>
      </c>
      <c r="D2" s="147"/>
      <c r="E2" s="130" t="s">
        <v>79</v>
      </c>
      <c r="F2" s="130" t="str">
        <f>'Stavební rozpočet'!I2</f>
        <v>Statutární město Jihlava</v>
      </c>
      <c r="G2" s="124"/>
      <c r="H2" s="130" t="s">
        <v>167</v>
      </c>
      <c r="I2" s="152" t="s">
        <v>171</v>
      </c>
      <c r="J2" s="5"/>
    </row>
    <row r="3" spans="1:10" x14ac:dyDescent="0.25">
      <c r="A3" s="125"/>
      <c r="B3" s="126"/>
      <c r="C3" s="128"/>
      <c r="D3" s="128"/>
      <c r="E3" s="126"/>
      <c r="F3" s="126"/>
      <c r="G3" s="126"/>
      <c r="H3" s="126"/>
      <c r="I3" s="135"/>
      <c r="J3" s="5"/>
    </row>
    <row r="4" spans="1:10" x14ac:dyDescent="0.25">
      <c r="A4" s="132" t="s">
        <v>2</v>
      </c>
      <c r="B4" s="126"/>
      <c r="C4" s="131" t="str">
        <f>'Stavební rozpočet'!D4</f>
        <v xml:space="preserve"> </v>
      </c>
      <c r="D4" s="126"/>
      <c r="E4" s="131" t="s">
        <v>80</v>
      </c>
      <c r="F4" s="131" t="str">
        <f>'Stavební rozpočet'!I4</f>
        <v> </v>
      </c>
      <c r="G4" s="126"/>
      <c r="H4" s="131" t="s">
        <v>167</v>
      </c>
      <c r="I4" s="134"/>
      <c r="J4" s="5"/>
    </row>
    <row r="5" spans="1:10" x14ac:dyDescent="0.25">
      <c r="A5" s="125"/>
      <c r="B5" s="126"/>
      <c r="C5" s="126"/>
      <c r="D5" s="126"/>
      <c r="E5" s="126"/>
      <c r="F5" s="126"/>
      <c r="G5" s="126"/>
      <c r="H5" s="126"/>
      <c r="I5" s="135"/>
      <c r="J5" s="5"/>
    </row>
    <row r="6" spans="1:10" x14ac:dyDescent="0.25">
      <c r="A6" s="132" t="s">
        <v>3</v>
      </c>
      <c r="B6" s="126"/>
      <c r="C6" s="131" t="str">
        <f>'Stavební rozpočet'!D6</f>
        <v>Jihlava</v>
      </c>
      <c r="D6" s="126"/>
      <c r="E6" s="131" t="s">
        <v>81</v>
      </c>
      <c r="F6" s="131" t="str">
        <f>'Stavební rozpočet'!I6</f>
        <v>dle výběrového řízení</v>
      </c>
      <c r="G6" s="126"/>
      <c r="H6" s="131" t="s">
        <v>167</v>
      </c>
      <c r="I6" s="134"/>
      <c r="J6" s="5"/>
    </row>
    <row r="7" spans="1:10" x14ac:dyDescent="0.25">
      <c r="A7" s="125"/>
      <c r="B7" s="126"/>
      <c r="C7" s="126"/>
      <c r="D7" s="126"/>
      <c r="E7" s="126"/>
      <c r="F7" s="126"/>
      <c r="G7" s="126"/>
      <c r="H7" s="126"/>
      <c r="I7" s="135"/>
      <c r="J7" s="5"/>
    </row>
    <row r="8" spans="1:10" x14ac:dyDescent="0.25">
      <c r="A8" s="132" t="s">
        <v>68</v>
      </c>
      <c r="B8" s="126"/>
      <c r="C8" s="131" t="str">
        <f>'Stavební rozpočet'!G4</f>
        <v xml:space="preserve"> </v>
      </c>
      <c r="D8" s="126"/>
      <c r="E8" s="131" t="s">
        <v>69</v>
      </c>
      <c r="F8" s="131" t="str">
        <f>'Stavební rozpočet'!G6</f>
        <v xml:space="preserve"> </v>
      </c>
      <c r="G8" s="126"/>
      <c r="H8" s="133" t="s">
        <v>168</v>
      </c>
      <c r="I8" s="155" t="s">
        <v>239</v>
      </c>
      <c r="J8" s="5"/>
    </row>
    <row r="9" spans="1:10" x14ac:dyDescent="0.25">
      <c r="A9" s="125"/>
      <c r="B9" s="126"/>
      <c r="C9" s="126"/>
      <c r="D9" s="126"/>
      <c r="E9" s="126"/>
      <c r="F9" s="126"/>
      <c r="G9" s="126"/>
      <c r="H9" s="126"/>
      <c r="I9" s="135"/>
      <c r="J9" s="5"/>
    </row>
    <row r="10" spans="1:10" x14ac:dyDescent="0.25">
      <c r="A10" s="132" t="s">
        <v>4</v>
      </c>
      <c r="B10" s="126"/>
      <c r="C10" s="131" t="str">
        <f>'Stavební rozpočet'!D8</f>
        <v xml:space="preserve"> </v>
      </c>
      <c r="D10" s="126"/>
      <c r="E10" s="131" t="s">
        <v>82</v>
      </c>
      <c r="F10" s="131" t="str">
        <f>'Stavební rozpočet'!I8</f>
        <v>Ing. Bc. Karel Trojan</v>
      </c>
      <c r="G10" s="126"/>
      <c r="H10" s="133" t="s">
        <v>169</v>
      </c>
      <c r="I10" s="153" t="str">
        <f>'Stavební rozpočet'!G8</f>
        <v>22.01.2026</v>
      </c>
      <c r="J10" s="5"/>
    </row>
    <row r="11" spans="1:10" x14ac:dyDescent="0.25">
      <c r="A11" s="156"/>
      <c r="B11" s="157"/>
      <c r="C11" s="157"/>
      <c r="D11" s="157"/>
      <c r="E11" s="157"/>
      <c r="F11" s="157"/>
      <c r="G11" s="157"/>
      <c r="H11" s="157"/>
      <c r="I11" s="154"/>
      <c r="J11" s="5"/>
    </row>
    <row r="12" spans="1:10" ht="23.4" customHeight="1" x14ac:dyDescent="0.25">
      <c r="A12" s="158" t="s">
        <v>127</v>
      </c>
      <c r="B12" s="159"/>
      <c r="C12" s="159"/>
      <c r="D12" s="159"/>
      <c r="E12" s="159"/>
      <c r="F12" s="159"/>
      <c r="G12" s="159"/>
      <c r="H12" s="159"/>
      <c r="I12" s="159"/>
    </row>
    <row r="13" spans="1:10" ht="26.4" customHeight="1" x14ac:dyDescent="0.25">
      <c r="A13" s="56" t="s">
        <v>128</v>
      </c>
      <c r="B13" s="160" t="s">
        <v>140</v>
      </c>
      <c r="C13" s="161"/>
      <c r="D13" s="56" t="s">
        <v>143</v>
      </c>
      <c r="E13" s="160" t="s">
        <v>152</v>
      </c>
      <c r="F13" s="161"/>
      <c r="G13" s="56" t="s">
        <v>153</v>
      </c>
      <c r="H13" s="160" t="s">
        <v>170</v>
      </c>
      <c r="I13" s="161"/>
      <c r="J13" s="5"/>
    </row>
    <row r="14" spans="1:10" ht="15.15" customHeight="1" x14ac:dyDescent="0.25">
      <c r="A14" s="57" t="s">
        <v>129</v>
      </c>
      <c r="B14" s="61" t="s">
        <v>141</v>
      </c>
      <c r="C14" s="64">
        <f>'Stavební rozpočet - součet'!D19</f>
        <v>0</v>
      </c>
      <c r="D14" s="162" t="s">
        <v>144</v>
      </c>
      <c r="E14" s="163"/>
      <c r="F14" s="64">
        <v>0</v>
      </c>
      <c r="G14" s="162" t="s">
        <v>154</v>
      </c>
      <c r="H14" s="163"/>
      <c r="I14" s="64">
        <v>0</v>
      </c>
      <c r="J14" s="5"/>
    </row>
    <row r="15" spans="1:10" ht="15.15" customHeight="1" x14ac:dyDescent="0.25">
      <c r="A15" s="58"/>
      <c r="B15" s="61" t="s">
        <v>89</v>
      </c>
      <c r="C15" s="64">
        <f>'Stavební rozpočet - součet'!E11+'Stavební rozpočet - součet'!E12+'Stavební rozpočet - součet'!E13+'Stavební rozpočet - součet'!E14+'Stavební rozpočet - součet'!E15+'Stavební rozpočet - součet'!E16</f>
        <v>0</v>
      </c>
      <c r="D15" s="162" t="s">
        <v>145</v>
      </c>
      <c r="E15" s="163"/>
      <c r="F15" s="64">
        <v>0</v>
      </c>
      <c r="G15" s="162" t="s">
        <v>155</v>
      </c>
      <c r="H15" s="163"/>
      <c r="I15" s="64">
        <v>0</v>
      </c>
      <c r="J15" s="5"/>
    </row>
    <row r="16" spans="1:10" ht="15.15" customHeight="1" x14ac:dyDescent="0.25">
      <c r="A16" s="57" t="s">
        <v>130</v>
      </c>
      <c r="B16" s="61" t="s">
        <v>141</v>
      </c>
      <c r="C16" s="64">
        <f>SUM('Stavební rozpočet'!AC12:AC71)</f>
        <v>0</v>
      </c>
      <c r="D16" s="162" t="s">
        <v>146</v>
      </c>
      <c r="E16" s="163"/>
      <c r="F16" s="64">
        <v>0</v>
      </c>
      <c r="G16" s="162" t="s">
        <v>156</v>
      </c>
      <c r="H16" s="163"/>
      <c r="I16" s="64">
        <v>0</v>
      </c>
      <c r="J16" s="5"/>
    </row>
    <row r="17" spans="1:10" ht="15.15" customHeight="1" x14ac:dyDescent="0.25">
      <c r="A17" s="58"/>
      <c r="B17" s="61" t="s">
        <v>89</v>
      </c>
      <c r="C17" s="64">
        <f>SUM('Stavební rozpočet'!AD12:AD71)</f>
        <v>0</v>
      </c>
      <c r="D17" s="162"/>
      <c r="E17" s="163"/>
      <c r="F17" s="65"/>
      <c r="G17" s="162" t="s">
        <v>157</v>
      </c>
      <c r="H17" s="163"/>
      <c r="I17" s="64">
        <v>0</v>
      </c>
      <c r="J17" s="5"/>
    </row>
    <row r="18" spans="1:10" ht="15.15" customHeight="1" x14ac:dyDescent="0.25">
      <c r="A18" s="57" t="s">
        <v>131</v>
      </c>
      <c r="B18" s="61" t="s">
        <v>141</v>
      </c>
      <c r="C18" s="64">
        <f>SUM('Stavební rozpočet'!AE12:AE71)</f>
        <v>0</v>
      </c>
      <c r="D18" s="162"/>
      <c r="E18" s="163"/>
      <c r="F18" s="65"/>
      <c r="G18" s="162" t="s">
        <v>158</v>
      </c>
      <c r="H18" s="163"/>
      <c r="I18" s="64">
        <v>0</v>
      </c>
      <c r="J18" s="5"/>
    </row>
    <row r="19" spans="1:10" ht="15.15" customHeight="1" x14ac:dyDescent="0.25">
      <c r="A19" s="58"/>
      <c r="B19" s="61" t="s">
        <v>89</v>
      </c>
      <c r="C19" s="64">
        <f>SUM('Stavební rozpočet'!AF12:AF71)</f>
        <v>0</v>
      </c>
      <c r="D19" s="162"/>
      <c r="E19" s="163"/>
      <c r="F19" s="65"/>
      <c r="G19" s="162" t="s">
        <v>159</v>
      </c>
      <c r="H19" s="163"/>
      <c r="I19" s="64">
        <v>0</v>
      </c>
      <c r="J19" s="5"/>
    </row>
    <row r="20" spans="1:10" ht="15.15" customHeight="1" x14ac:dyDescent="0.25">
      <c r="A20" s="164" t="s">
        <v>132</v>
      </c>
      <c r="B20" s="165"/>
      <c r="C20" s="64">
        <f>SUM('Stavební rozpočet'!AG12:AG71)</f>
        <v>0</v>
      </c>
      <c r="D20" s="162"/>
      <c r="E20" s="163"/>
      <c r="F20" s="65"/>
      <c r="G20" s="162"/>
      <c r="H20" s="163"/>
      <c r="I20" s="65"/>
      <c r="J20" s="5"/>
    </row>
    <row r="21" spans="1:10" ht="15.15" customHeight="1" x14ac:dyDescent="0.25">
      <c r="A21" s="164" t="s">
        <v>133</v>
      </c>
      <c r="B21" s="165"/>
      <c r="C21" s="64">
        <f>'Stavební rozpočet - součet'!E17+'Stavební rozpočet - součet'!E18</f>
        <v>0</v>
      </c>
      <c r="D21" s="162"/>
      <c r="E21" s="163"/>
      <c r="F21" s="65"/>
      <c r="G21" s="162"/>
      <c r="H21" s="163"/>
      <c r="I21" s="65"/>
      <c r="J21" s="5"/>
    </row>
    <row r="22" spans="1:10" ht="16.649999999999999" customHeight="1" x14ac:dyDescent="0.25">
      <c r="A22" s="164" t="s">
        <v>134</v>
      </c>
      <c r="B22" s="165"/>
      <c r="C22" s="64">
        <f>ROUND(SUM(C14:C21),0)</f>
        <v>0</v>
      </c>
      <c r="D22" s="164" t="s">
        <v>147</v>
      </c>
      <c r="E22" s="165"/>
      <c r="F22" s="64">
        <f>SUM(F14:F21)</f>
        <v>0</v>
      </c>
      <c r="G22" s="164" t="s">
        <v>160</v>
      </c>
      <c r="H22" s="165"/>
      <c r="I22" s="64">
        <f>SUM(I14:I21)</f>
        <v>0</v>
      </c>
      <c r="J22" s="5"/>
    </row>
    <row r="23" spans="1:10" ht="15.15" customHeight="1" x14ac:dyDescent="0.25">
      <c r="A23" s="8"/>
      <c r="B23" s="8"/>
      <c r="C23" s="63"/>
      <c r="D23" s="164" t="s">
        <v>148</v>
      </c>
      <c r="E23" s="165"/>
      <c r="F23" s="66">
        <v>0</v>
      </c>
      <c r="G23" s="164" t="s">
        <v>161</v>
      </c>
      <c r="H23" s="165"/>
      <c r="I23" s="64">
        <v>0</v>
      </c>
      <c r="J23" s="5"/>
    </row>
    <row r="24" spans="1:10" ht="15.15" customHeight="1" x14ac:dyDescent="0.25">
      <c r="D24" s="8"/>
      <c r="E24" s="8"/>
      <c r="F24" s="67"/>
      <c r="G24" s="164" t="s">
        <v>162</v>
      </c>
      <c r="H24" s="165"/>
      <c r="I24" s="64">
        <v>0</v>
      </c>
      <c r="J24" s="5"/>
    </row>
    <row r="25" spans="1:10" ht="15.15" customHeight="1" x14ac:dyDescent="0.25">
      <c r="F25" s="31"/>
      <c r="G25" s="164" t="s">
        <v>163</v>
      </c>
      <c r="H25" s="165"/>
      <c r="I25" s="64">
        <v>0</v>
      </c>
      <c r="J25" s="5"/>
    </row>
    <row r="26" spans="1:10" x14ac:dyDescent="0.25">
      <c r="A26" s="15"/>
      <c r="B26" s="15"/>
      <c r="C26" s="15"/>
      <c r="G26" s="8"/>
      <c r="H26" s="8"/>
      <c r="I26" s="8"/>
    </row>
    <row r="27" spans="1:10" ht="15.15" customHeight="1" x14ac:dyDescent="0.25">
      <c r="A27" s="166" t="s">
        <v>135</v>
      </c>
      <c r="B27" s="167"/>
      <c r="C27" s="68">
        <f>ROUND(SUM('Stavební rozpočet'!AI12:AI71),0)</f>
        <v>0</v>
      </c>
      <c r="D27" s="7"/>
      <c r="E27" s="15"/>
      <c r="F27" s="15"/>
      <c r="G27" s="15"/>
      <c r="H27" s="15"/>
      <c r="I27" s="15"/>
    </row>
    <row r="28" spans="1:10" ht="15.15" customHeight="1" x14ac:dyDescent="0.25">
      <c r="A28" s="166" t="s">
        <v>136</v>
      </c>
      <c r="B28" s="167"/>
      <c r="C28" s="68">
        <f>ROUND(SUM('Stavební rozpočet'!AJ12:AJ71),0)</f>
        <v>0</v>
      </c>
      <c r="D28" s="166" t="s">
        <v>149</v>
      </c>
      <c r="E28" s="167"/>
      <c r="F28" s="68">
        <f>ROUND(C28*(15/100),2)</f>
        <v>0</v>
      </c>
      <c r="G28" s="166" t="s">
        <v>164</v>
      </c>
      <c r="H28" s="167"/>
      <c r="I28" s="68">
        <f>ROUND(SUM(C27:C29),0)</f>
        <v>0</v>
      </c>
      <c r="J28" s="5"/>
    </row>
    <row r="29" spans="1:10" ht="15.15" customHeight="1" x14ac:dyDescent="0.25">
      <c r="A29" s="166" t="s">
        <v>137</v>
      </c>
      <c r="B29" s="167"/>
      <c r="C29" s="68">
        <f>C22</f>
        <v>0</v>
      </c>
      <c r="D29" s="166" t="s">
        <v>150</v>
      </c>
      <c r="E29" s="167"/>
      <c r="F29" s="68">
        <f>ROUND(C29*(21/100),2)</f>
        <v>0</v>
      </c>
      <c r="G29" s="166" t="s">
        <v>165</v>
      </c>
      <c r="H29" s="167"/>
      <c r="I29" s="68">
        <f>ROUND(SUM(F28:F29)+I28,0)</f>
        <v>0</v>
      </c>
      <c r="J29" s="5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25">
      <c r="A31" s="168" t="s">
        <v>138</v>
      </c>
      <c r="B31" s="169"/>
      <c r="C31" s="170"/>
      <c r="D31" s="168" t="s">
        <v>151</v>
      </c>
      <c r="E31" s="169"/>
      <c r="F31" s="170"/>
      <c r="G31" s="168" t="s">
        <v>166</v>
      </c>
      <c r="H31" s="169"/>
      <c r="I31" s="170"/>
      <c r="J31" s="32"/>
    </row>
    <row r="32" spans="1:10" ht="14.4" customHeight="1" x14ac:dyDescent="0.25">
      <c r="A32" s="171"/>
      <c r="B32" s="172"/>
      <c r="C32" s="173"/>
      <c r="D32" s="171"/>
      <c r="E32" s="172"/>
      <c r="F32" s="173"/>
      <c r="G32" s="171"/>
      <c r="H32" s="172"/>
      <c r="I32" s="173"/>
      <c r="J32" s="32"/>
    </row>
    <row r="33" spans="1:10" ht="14.4" customHeight="1" x14ac:dyDescent="0.25">
      <c r="A33" s="171"/>
      <c r="B33" s="172"/>
      <c r="C33" s="173"/>
      <c r="D33" s="171"/>
      <c r="E33" s="172"/>
      <c r="F33" s="173"/>
      <c r="G33" s="171"/>
      <c r="H33" s="172"/>
      <c r="I33" s="173"/>
      <c r="J33" s="32"/>
    </row>
    <row r="34" spans="1:10" ht="14.4" customHeight="1" x14ac:dyDescent="0.25">
      <c r="A34" s="171"/>
      <c r="B34" s="172"/>
      <c r="C34" s="173"/>
      <c r="D34" s="171"/>
      <c r="E34" s="172"/>
      <c r="F34" s="173"/>
      <c r="G34" s="171"/>
      <c r="H34" s="172"/>
      <c r="I34" s="173"/>
      <c r="J34" s="32"/>
    </row>
    <row r="35" spans="1:10" ht="14.4" customHeight="1" x14ac:dyDescent="0.25">
      <c r="A35" s="174" t="s">
        <v>139</v>
      </c>
      <c r="B35" s="175"/>
      <c r="C35" s="176"/>
      <c r="D35" s="174" t="s">
        <v>139</v>
      </c>
      <c r="E35" s="175"/>
      <c r="F35" s="176"/>
      <c r="G35" s="174" t="s">
        <v>139</v>
      </c>
      <c r="H35" s="175"/>
      <c r="I35" s="176"/>
      <c r="J35" s="32"/>
    </row>
    <row r="36" spans="1:10" ht="11.25" customHeight="1" x14ac:dyDescent="0.25">
      <c r="A36" s="60" t="s">
        <v>18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25">
      <c r="A37" s="131" t="s">
        <v>19</v>
      </c>
      <c r="B37" s="126"/>
      <c r="C37" s="126"/>
      <c r="D37" s="126"/>
      <c r="E37" s="126"/>
      <c r="F37" s="126"/>
      <c r="G37" s="126"/>
      <c r="H37" s="126"/>
      <c r="I37" s="126"/>
    </row>
  </sheetData>
  <sheetProtection algorithmName="SHA-512" hashValue="iYuzocn44YkQuI5koB6sHsombb8jwfmF3ZnnV92qGqOHEqj3UESsbiOzwC+XbomqGi+MgBWK22DSGU1IMwrbRg==" saltValue="TZ87RijKB2llVwaOEKXHvA==" spinCount="100000" sheet="1" objects="1" scenarios="1"/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2026-04-22T13:13:24Z</dcterms:modified>
</cp:coreProperties>
</file>