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ojan.karel\Desktop\Rozpočtové práce 2026\Opravy komunikací 2026\Kosovská\"/>
    </mc:Choice>
  </mc:AlternateContent>
  <bookViews>
    <workbookView xWindow="-120" yWindow="-120" windowWidth="38640" windowHeight="21240" activeTab="2"/>
  </bookViews>
  <sheets>
    <sheet name="Stavební rozpočet" sheetId="1" r:id="rId1"/>
    <sheet name="Stavební rozpočet - součet" sheetId="2" r:id="rId2"/>
    <sheet name="Krycí list rozpočtu" sheetId="5" r:id="rId3"/>
  </sheets>
  <calcPr calcId="162913"/>
</workbook>
</file>

<file path=xl/calcChain.xml><?xml version="1.0" encoding="utf-8"?>
<calcChain xmlns="http://schemas.openxmlformats.org/spreadsheetml/2006/main">
  <c r="D13" i="2" l="1"/>
  <c r="F51" i="1"/>
  <c r="H30" i="1"/>
  <c r="BI37" i="1"/>
  <c r="BC37" i="1"/>
  <c r="AO37" i="1"/>
  <c r="AW37" i="1" s="1"/>
  <c r="AN37" i="1"/>
  <c r="BG37" i="1" s="1"/>
  <c r="AA37" i="1" s="1"/>
  <c r="AJ37" i="1"/>
  <c r="AI37" i="1"/>
  <c r="AG37" i="1"/>
  <c r="AF37" i="1"/>
  <c r="AE37" i="1"/>
  <c r="AD37" i="1"/>
  <c r="AC37" i="1"/>
  <c r="Y37" i="1"/>
  <c r="L37" i="1"/>
  <c r="BE37" i="1" s="1"/>
  <c r="J37" i="1"/>
  <c r="AK37" i="1" s="1"/>
  <c r="AV37" i="1" l="1"/>
  <c r="BH37" i="1"/>
  <c r="AB37" i="1" s="1"/>
  <c r="H37" i="1"/>
  <c r="I37" i="1"/>
  <c r="BB37" i="1" l="1"/>
  <c r="AU37" i="1"/>
  <c r="L31" i="1" l="1"/>
  <c r="J31" i="1"/>
  <c r="I31" i="1" s="1"/>
  <c r="H31" i="1"/>
  <c r="L30" i="1" l="1"/>
  <c r="F50" i="1" s="1"/>
  <c r="C2" i="5" l="1"/>
  <c r="F2" i="5"/>
  <c r="C4" i="5"/>
  <c r="F4" i="5"/>
  <c r="C6" i="5"/>
  <c r="F6" i="5"/>
  <c r="C8" i="5"/>
  <c r="F8" i="5"/>
  <c r="C10" i="5"/>
  <c r="F10" i="5"/>
  <c r="I10" i="5"/>
  <c r="F22" i="5"/>
  <c r="I22" i="5"/>
  <c r="J13" i="1"/>
  <c r="L13" i="1"/>
  <c r="BE13" i="1" s="1"/>
  <c r="Y13" i="1"/>
  <c r="AC13" i="1"/>
  <c r="AD13" i="1"/>
  <c r="AE13" i="1"/>
  <c r="AF13" i="1"/>
  <c r="AG13" i="1"/>
  <c r="AI13" i="1"/>
  <c r="AJ13" i="1"/>
  <c r="AN13" i="1"/>
  <c r="AV13" i="1" s="1"/>
  <c r="AO13" i="1"/>
  <c r="I13" i="1" s="1"/>
  <c r="BC13" i="1"/>
  <c r="BI13" i="1"/>
  <c r="J15" i="1"/>
  <c r="AK15" i="1" s="1"/>
  <c r="L15" i="1"/>
  <c r="Y15" i="1"/>
  <c r="AC15" i="1"/>
  <c r="AD15" i="1"/>
  <c r="AE15" i="1"/>
  <c r="AF15" i="1"/>
  <c r="AG15" i="1"/>
  <c r="AI15" i="1"/>
  <c r="AJ15" i="1"/>
  <c r="AN15" i="1"/>
  <c r="H15" i="1" s="1"/>
  <c r="AO15" i="1"/>
  <c r="BH15" i="1" s="1"/>
  <c r="AB15" i="1" s="1"/>
  <c r="BC15" i="1"/>
  <c r="BI15" i="1"/>
  <c r="J17" i="1"/>
  <c r="AK17" i="1" s="1"/>
  <c r="L17" i="1"/>
  <c r="BE17" i="1" s="1"/>
  <c r="Y17" i="1"/>
  <c r="AC17" i="1"/>
  <c r="AD17" i="1"/>
  <c r="AE17" i="1"/>
  <c r="AF17" i="1"/>
  <c r="AG17" i="1"/>
  <c r="AI17" i="1"/>
  <c r="AJ17" i="1"/>
  <c r="AN17" i="1"/>
  <c r="H17" i="1" s="1"/>
  <c r="AO17" i="1"/>
  <c r="AW17" i="1" s="1"/>
  <c r="BC17" i="1"/>
  <c r="BI17" i="1"/>
  <c r="J19" i="1"/>
  <c r="L19" i="1"/>
  <c r="BE19" i="1" s="1"/>
  <c r="Y19" i="1"/>
  <c r="AC19" i="1"/>
  <c r="AD19" i="1"/>
  <c r="AE19" i="1"/>
  <c r="AF19" i="1"/>
  <c r="AG19" i="1"/>
  <c r="AI19" i="1"/>
  <c r="AJ19" i="1"/>
  <c r="AN19" i="1"/>
  <c r="BG19" i="1" s="1"/>
  <c r="AA19" i="1" s="1"/>
  <c r="AO19" i="1"/>
  <c r="I19" i="1" s="1"/>
  <c r="BC19" i="1"/>
  <c r="BI19" i="1"/>
  <c r="J21" i="1"/>
  <c r="L21" i="1"/>
  <c r="BE21" i="1" s="1"/>
  <c r="Y21" i="1"/>
  <c r="AC21" i="1"/>
  <c r="AD21" i="1"/>
  <c r="AE21" i="1"/>
  <c r="AF21" i="1"/>
  <c r="AG21" i="1"/>
  <c r="AI21" i="1"/>
  <c r="AJ21" i="1"/>
  <c r="AN21" i="1"/>
  <c r="H21" i="1" s="1"/>
  <c r="AO21" i="1"/>
  <c r="BH21" i="1" s="1"/>
  <c r="AB21" i="1" s="1"/>
  <c r="BC21" i="1"/>
  <c r="BI21" i="1"/>
  <c r="J23" i="1"/>
  <c r="L23" i="1"/>
  <c r="BE23" i="1" s="1"/>
  <c r="Y23" i="1"/>
  <c r="AC23" i="1"/>
  <c r="AD23" i="1"/>
  <c r="AE23" i="1"/>
  <c r="AF23" i="1"/>
  <c r="AG23" i="1"/>
  <c r="AI23" i="1"/>
  <c r="AJ23" i="1"/>
  <c r="AN23" i="1"/>
  <c r="BG23" i="1" s="1"/>
  <c r="AA23" i="1" s="1"/>
  <c r="AO23" i="1"/>
  <c r="BH23" i="1" s="1"/>
  <c r="AB23" i="1" s="1"/>
  <c r="BC23" i="1"/>
  <c r="BI23" i="1"/>
  <c r="J25" i="1"/>
  <c r="AK25" i="1" s="1"/>
  <c r="L25" i="1"/>
  <c r="BE25" i="1" s="1"/>
  <c r="Y25" i="1"/>
  <c r="AC25" i="1"/>
  <c r="AD25" i="1"/>
  <c r="AE25" i="1"/>
  <c r="AF25" i="1"/>
  <c r="AG25" i="1"/>
  <c r="AI25" i="1"/>
  <c r="AJ25" i="1"/>
  <c r="AN25" i="1"/>
  <c r="AV25" i="1" s="1"/>
  <c r="AO25" i="1"/>
  <c r="I25" i="1" s="1"/>
  <c r="BC25" i="1"/>
  <c r="BI25" i="1"/>
  <c r="J28" i="1"/>
  <c r="J27" i="1" s="1"/>
  <c r="F12" i="2" s="1"/>
  <c r="I12" i="2" s="1"/>
  <c r="L28" i="1"/>
  <c r="L27" i="1" s="1"/>
  <c r="G12" i="2" s="1"/>
  <c r="Y28" i="1"/>
  <c r="AC28" i="1"/>
  <c r="AD28" i="1"/>
  <c r="AE28" i="1"/>
  <c r="AF28" i="1"/>
  <c r="AG28" i="1"/>
  <c r="AI28" i="1"/>
  <c r="AR27" i="1" s="1"/>
  <c r="AJ28" i="1"/>
  <c r="AS27" i="1" s="1"/>
  <c r="AN28" i="1"/>
  <c r="H28" i="1" s="1"/>
  <c r="H27" i="1" s="1"/>
  <c r="D12" i="2" s="1"/>
  <c r="AO28" i="1"/>
  <c r="I28" i="1" s="1"/>
  <c r="I27" i="1" s="1"/>
  <c r="E12" i="2" s="1"/>
  <c r="BC28" i="1"/>
  <c r="BI28" i="1"/>
  <c r="J30" i="1"/>
  <c r="J34" i="1"/>
  <c r="L34" i="1"/>
  <c r="Y34" i="1"/>
  <c r="AC34" i="1"/>
  <c r="AD34" i="1"/>
  <c r="AE34" i="1"/>
  <c r="AF34" i="1"/>
  <c r="AG34" i="1"/>
  <c r="AI34" i="1"/>
  <c r="AJ34" i="1"/>
  <c r="AN34" i="1"/>
  <c r="BG34" i="1" s="1"/>
  <c r="AA34" i="1" s="1"/>
  <c r="AO34" i="1"/>
  <c r="I34" i="1" s="1"/>
  <c r="BC34" i="1"/>
  <c r="BI34" i="1"/>
  <c r="J42" i="1"/>
  <c r="L42" i="1"/>
  <c r="BE42" i="1" s="1"/>
  <c r="Y42" i="1"/>
  <c r="AC42" i="1"/>
  <c r="AD42" i="1"/>
  <c r="AE42" i="1"/>
  <c r="AF42" i="1"/>
  <c r="AG42" i="1"/>
  <c r="AI42" i="1"/>
  <c r="AJ42" i="1"/>
  <c r="AN42" i="1"/>
  <c r="BG42" i="1" s="1"/>
  <c r="AA42" i="1" s="1"/>
  <c r="AO42" i="1"/>
  <c r="BH42" i="1" s="1"/>
  <c r="AB42" i="1" s="1"/>
  <c r="BC42" i="1"/>
  <c r="BI42" i="1"/>
  <c r="AA47" i="1"/>
  <c r="AB47" i="1"/>
  <c r="AC47" i="1"/>
  <c r="AD47" i="1"/>
  <c r="AE47" i="1"/>
  <c r="AF47" i="1"/>
  <c r="AG47" i="1"/>
  <c r="AI47" i="1"/>
  <c r="AR46" i="1" s="1"/>
  <c r="AJ47" i="1"/>
  <c r="AS46" i="1" s="1"/>
  <c r="AN47" i="1"/>
  <c r="AO47" i="1"/>
  <c r="BC47" i="1"/>
  <c r="J50" i="1"/>
  <c r="L50" i="1"/>
  <c r="BE50" i="1" s="1"/>
  <c r="AA50" i="1"/>
  <c r="AB50" i="1"/>
  <c r="AC50" i="1"/>
  <c r="AD50" i="1"/>
  <c r="AE50" i="1"/>
  <c r="AF50" i="1"/>
  <c r="AG50" i="1"/>
  <c r="AI50" i="1"/>
  <c r="AJ50" i="1"/>
  <c r="AN50" i="1"/>
  <c r="BG50" i="1" s="1"/>
  <c r="AO50" i="1"/>
  <c r="I50" i="1" s="1"/>
  <c r="BC50" i="1"/>
  <c r="BI50" i="1"/>
  <c r="Y50" i="1" s="1"/>
  <c r="J51" i="1"/>
  <c r="L51" i="1"/>
  <c r="BE51" i="1" s="1"/>
  <c r="AA51" i="1"/>
  <c r="AB51" i="1"/>
  <c r="AC51" i="1"/>
  <c r="AD51" i="1"/>
  <c r="AE51" i="1"/>
  <c r="AF51" i="1"/>
  <c r="AG51" i="1"/>
  <c r="AI51" i="1"/>
  <c r="AJ51" i="1"/>
  <c r="AN51" i="1"/>
  <c r="BG51" i="1" s="1"/>
  <c r="AO51" i="1"/>
  <c r="BH51" i="1" s="1"/>
  <c r="BC51" i="1"/>
  <c r="BI51" i="1"/>
  <c r="Y51" i="1" s="1"/>
  <c r="B2" i="2"/>
  <c r="E2" i="2"/>
  <c r="B4" i="2"/>
  <c r="E4" i="2"/>
  <c r="B6" i="2"/>
  <c r="E6" i="2"/>
  <c r="B8" i="2"/>
  <c r="E8" i="2"/>
  <c r="L33" i="1" l="1"/>
  <c r="F47" i="1" s="1"/>
  <c r="BH47" i="1" s="1"/>
  <c r="J33" i="1"/>
  <c r="F14" i="2" s="1"/>
  <c r="J12" i="1"/>
  <c r="BE34" i="1"/>
  <c r="AK19" i="1"/>
  <c r="BH13" i="1"/>
  <c r="AB13" i="1" s="1"/>
  <c r="AS33" i="1"/>
  <c r="AK50" i="1"/>
  <c r="H50" i="1"/>
  <c r="AS49" i="1"/>
  <c r="AV50" i="1"/>
  <c r="AW34" i="1"/>
  <c r="AK13" i="1"/>
  <c r="AR41" i="1"/>
  <c r="I42" i="1"/>
  <c r="I41" i="1" s="1"/>
  <c r="E15" i="2" s="1"/>
  <c r="H25" i="1"/>
  <c r="BH19" i="1"/>
  <c r="AB19" i="1" s="1"/>
  <c r="AS30" i="1"/>
  <c r="BG17" i="1"/>
  <c r="AA17" i="1" s="1"/>
  <c r="BG15" i="1"/>
  <c r="AA15" i="1" s="1"/>
  <c r="I15" i="1"/>
  <c r="AW42" i="1"/>
  <c r="AR30" i="1"/>
  <c r="BG25" i="1"/>
  <c r="AA25" i="1" s="1"/>
  <c r="AW19" i="1"/>
  <c r="AK21" i="1"/>
  <c r="AV17" i="1"/>
  <c r="AU17" i="1" s="1"/>
  <c r="AW15" i="1"/>
  <c r="AW50" i="1"/>
  <c r="AV15" i="1"/>
  <c r="C28" i="5"/>
  <c r="F28" i="5" s="1"/>
  <c r="AK51" i="1"/>
  <c r="AV34" i="1"/>
  <c r="AK28" i="1"/>
  <c r="AT27" i="1" s="1"/>
  <c r="AW23" i="1"/>
  <c r="AW21" i="1"/>
  <c r="BG13" i="1"/>
  <c r="AA13" i="1" s="1"/>
  <c r="C27" i="5"/>
  <c r="J41" i="1"/>
  <c r="F15" i="2" s="1"/>
  <c r="I15" i="2" s="1"/>
  <c r="BH17" i="1"/>
  <c r="AB17" i="1" s="1"/>
  <c r="AR12" i="1"/>
  <c r="AK34" i="1"/>
  <c r="I17" i="1"/>
  <c r="L12" i="1"/>
  <c r="G11" i="2" s="1"/>
  <c r="AW13" i="1"/>
  <c r="BB13" i="1" s="1"/>
  <c r="C18" i="5"/>
  <c r="H51" i="1"/>
  <c r="F13" i="2"/>
  <c r="BE28" i="1"/>
  <c r="C19" i="5"/>
  <c r="C17" i="5"/>
  <c r="I23" i="1"/>
  <c r="C16" i="5"/>
  <c r="BH34" i="1"/>
  <c r="AB34" i="1" s="1"/>
  <c r="AR33" i="1"/>
  <c r="BH50" i="1"/>
  <c r="AR49" i="1"/>
  <c r="AS41" i="1"/>
  <c r="H34" i="1"/>
  <c r="G13" i="2"/>
  <c r="C20" i="5"/>
  <c r="I21" i="1"/>
  <c r="AW51" i="1"/>
  <c r="AV19" i="1"/>
  <c r="BE15" i="1"/>
  <c r="H13" i="1"/>
  <c r="AV51" i="1"/>
  <c r="L49" i="1"/>
  <c r="G17" i="2" s="1"/>
  <c r="BH28" i="1"/>
  <c r="AB28" i="1" s="1"/>
  <c r="I51" i="1"/>
  <c r="I49" i="1" s="1"/>
  <c r="E17" i="2" s="1"/>
  <c r="J49" i="1"/>
  <c r="AV42" i="1"/>
  <c r="I33" i="1"/>
  <c r="BG28" i="1"/>
  <c r="AA28" i="1" s="1"/>
  <c r="BH25" i="1"/>
  <c r="AB25" i="1" s="1"/>
  <c r="AV23" i="1"/>
  <c r="H19" i="1"/>
  <c r="AS12" i="1"/>
  <c r="H42" i="1"/>
  <c r="H41" i="1" s="1"/>
  <c r="H23" i="1"/>
  <c r="AK42" i="1"/>
  <c r="AW28" i="1"/>
  <c r="AK23" i="1"/>
  <c r="AV28" i="1"/>
  <c r="AW25" i="1"/>
  <c r="AU25" i="1" s="1"/>
  <c r="BG21" i="1"/>
  <c r="AA21" i="1" s="1"/>
  <c r="L41" i="1"/>
  <c r="G15" i="2" s="1"/>
  <c r="AV21" i="1"/>
  <c r="F17" i="2" l="1"/>
  <c r="C21" i="5" s="1"/>
  <c r="BG47" i="1"/>
  <c r="AW47" i="1"/>
  <c r="I47" i="1"/>
  <c r="I46" i="1" s="1"/>
  <c r="E16" i="2" s="1"/>
  <c r="G14" i="2"/>
  <c r="AV47" i="1"/>
  <c r="H47" i="1"/>
  <c r="H46" i="1" s="1"/>
  <c r="D16" i="2" s="1"/>
  <c r="BI47" i="1"/>
  <c r="Y47" i="1" s="1"/>
  <c r="J47" i="1"/>
  <c r="L47" i="1"/>
  <c r="H33" i="1"/>
  <c r="D14" i="2" s="1"/>
  <c r="I13" i="2"/>
  <c r="I30" i="1"/>
  <c r="E13" i="2" s="1"/>
  <c r="BB50" i="1"/>
  <c r="BB17" i="1"/>
  <c r="BB15" i="1"/>
  <c r="AT49" i="1"/>
  <c r="BB34" i="1"/>
  <c r="AT33" i="1"/>
  <c r="D15" i="2"/>
  <c r="AU34" i="1"/>
  <c r="H49" i="1"/>
  <c r="D17" i="2" s="1"/>
  <c r="I12" i="1"/>
  <c r="E11" i="2" s="1"/>
  <c r="AU13" i="1"/>
  <c r="AT12" i="1"/>
  <c r="AU50" i="1"/>
  <c r="AT30" i="1"/>
  <c r="AU15" i="1"/>
  <c r="AT41" i="1"/>
  <c r="BB25" i="1"/>
  <c r="E14" i="2"/>
  <c r="AU23" i="1"/>
  <c r="BB23" i="1"/>
  <c r="BB19" i="1"/>
  <c r="AU19" i="1"/>
  <c r="AU21" i="1"/>
  <c r="BB21" i="1"/>
  <c r="F11" i="2"/>
  <c r="I11" i="2" s="1"/>
  <c r="AU51" i="1"/>
  <c r="BB51" i="1"/>
  <c r="H12" i="1"/>
  <c r="D11" i="2" s="1"/>
  <c r="AU28" i="1"/>
  <c r="BB28" i="1"/>
  <c r="AU47" i="1"/>
  <c r="BB47" i="1"/>
  <c r="AU42" i="1"/>
  <c r="BB42" i="1"/>
  <c r="I17" i="2" l="1"/>
  <c r="BE47" i="1"/>
  <c r="L46" i="1"/>
  <c r="G16" i="2" s="1"/>
  <c r="AK47" i="1"/>
  <c r="AT46" i="1" s="1"/>
  <c r="J46" i="1"/>
  <c r="J53" i="1" s="1"/>
  <c r="D18" i="2"/>
  <c r="C14" i="5" s="1"/>
  <c r="E18" i="2"/>
  <c r="C15" i="5" s="1"/>
  <c r="I14" i="2"/>
  <c r="F16" i="2" l="1"/>
  <c r="F18" i="2" s="1"/>
  <c r="C22" i="5"/>
  <c r="C29" i="5" s="1"/>
  <c r="I28" i="5" s="1"/>
  <c r="I16" i="2" l="1"/>
  <c r="F29" i="5"/>
  <c r="I29" i="5" s="1"/>
</calcChain>
</file>

<file path=xl/sharedStrings.xml><?xml version="1.0" encoding="utf-8"?>
<sst xmlns="http://schemas.openxmlformats.org/spreadsheetml/2006/main" count="368" uniqueCount="185">
  <si>
    <t>Stavební rozpočet</t>
  </si>
  <si>
    <t>Název stavby:</t>
  </si>
  <si>
    <t>Druh stavby:</t>
  </si>
  <si>
    <t>Lokalita:</t>
  </si>
  <si>
    <t>JKSO:</t>
  </si>
  <si>
    <t>Č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</si>
  <si>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</si>
  <si>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</si>
  <si>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</si>
  <si>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</si>
  <si>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</si>
  <si>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</si>
  <si>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</si>
  <si>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</si>
  <si>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</si>
  <si>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11</t>
  </si>
  <si>
    <t>Poznámka:</t>
  </si>
  <si>
    <t>Náklady na veškeré výkony a materiály jsou obsaženy v příslušných položkách</t>
  </si>
  <si>
    <t>Objekt</t>
  </si>
  <si>
    <t>Kód</t>
  </si>
  <si>
    <t>010VD</t>
  </si>
  <si>
    <t>100 00-01</t>
  </si>
  <si>
    <t>020VD</t>
  </si>
  <si>
    <t>200 00-01</t>
  </si>
  <si>
    <t>Varianta:</t>
  </si>
  <si>
    <t>57</t>
  </si>
  <si>
    <t>573211112R00</t>
  </si>
  <si>
    <t>91</t>
  </si>
  <si>
    <t>919726212R00</t>
  </si>
  <si>
    <t>H22</t>
  </si>
  <si>
    <t>998225111R00</t>
  </si>
  <si>
    <t>S</t>
  </si>
  <si>
    <t>979082213R00</t>
  </si>
  <si>
    <t>979082219R00</t>
  </si>
  <si>
    <t>Jihlava</t>
  </si>
  <si>
    <t>Zkrácený popis / Varianta</t>
  </si>
  <si>
    <t>Rozměry</t>
  </si>
  <si>
    <t>Vedlejší náklady</t>
  </si>
  <si>
    <t>Dopravně inženýrská opatření</t>
  </si>
  <si>
    <t>Náklady na zajištění dopravy</t>
  </si>
  <si>
    <t>Náklady na projednání návrhu dočasného dopravního značení /MMJ, odbor dopravy, Policie ČR, DI/, zřízení, přemisťování a zrušení dočasného dopravního značení pro jednotlivé stavby ve vazbě na harmonogram prací.</t>
  </si>
  <si>
    <t>Náklady na informační cedule</t>
  </si>
  <si>
    <t xml:space="preserve">Náklady na pořízení informačních, zákazových a příkazových cedulí pro zajištění označení stavby a příkazových cedulí pro vymezení pohybu chodců či vozidel po staveništi (osazení dle potřeby stavby), _x000D_
náklady na osazení, přemístění a zrušení cedulí_x000D_
</t>
  </si>
  <si>
    <t>Náklady na oplocení, ohrazení výkopů</t>
  </si>
  <si>
    <t>Náklady na zřízení, údržbu, přemístění a zrušení oplocení či ohrazení výkopových rýh a jam, případně jejich jiné vyznačení v terénu po dobu jejich existence s odkazem na předpisy BOZP a součinnost určeného koordinátora BOZP stavby</t>
  </si>
  <si>
    <t>Náklady na zařízení staveniště</t>
  </si>
  <si>
    <t xml:space="preserve">Náklady na projednání a zajištění míst GZS (zázemí zhotovitele, skládky materiálů k zabudování do stavby, skládky sypkých materiálů). Vše rozsahu souvisejících nákladů a případných poplatků za užívání či nájem ploch. Zařízení staveniště pro stavbu._x000D_
</t>
  </si>
  <si>
    <t>Náklady na zajištění skládek</t>
  </si>
  <si>
    <t>Náklady na projednání a zajištění míst mezideponií a deponií vytěžených hmot, tzn. projednání uložení vytěžených hmot na dočasné skládky po dobu stavby, respektive trvalé skládky za účelem trvalého uložení vytěžených hmot s vlastníky pozemků či skládek. Před zahájením stavby bude doložen investorovi smluvní vztah s vlastníkem pozemků na nichž budou zeminy či vytěžené hmoty ukládány.</t>
  </si>
  <si>
    <t>Náklady na vypracování harmonogramu</t>
  </si>
  <si>
    <t>Náklady na vypracování harmonogramu stavebních prací pro stavbu s jeho průběžnou aktualizací, projednání a odsouhlasení s investorem, provozovatelem, DOS a koordinátorem BOZP.</t>
  </si>
  <si>
    <t>Ostatní náklady</t>
  </si>
  <si>
    <t>Dokumentace skutečného provedení stavby</t>
  </si>
  <si>
    <t>Dokumentace skutečného provedení stavebních objektů /opravené situace, popř. předepsaná fotodokumentace atd./, dle specifikace uvedené u jednotlivých stavebních objektů, mimo geodetického zaměření Microstation.</t>
  </si>
  <si>
    <t>Přípravné a přidružené práce</t>
  </si>
  <si>
    <t>Kryty pozemních komunikací, letišť a ploch z kameniva nebo živičné</t>
  </si>
  <si>
    <t>Postřik živičný spojovací z asfaltu 0,25 kg/m2</t>
  </si>
  <si>
    <t>modifikovaný</t>
  </si>
  <si>
    <t>Doplňující konstrukce a práce na pozemních komunikacích a zpevněných plochách</t>
  </si>
  <si>
    <t>Těsnění spár krytu vozovky zálivkou za studena</t>
  </si>
  <si>
    <t>Komunikace pozemní a letiště</t>
  </si>
  <si>
    <t>Přesun hmot, pozemní komunikace, kryt živičný</t>
  </si>
  <si>
    <t>Přesuny sutí</t>
  </si>
  <si>
    <t>Vodorovná doprava suti po suchu do 1 km</t>
  </si>
  <si>
    <t>Příplatek za dopravu suti po suchu za další 1 km</t>
  </si>
  <si>
    <t>Doba výstavby:</t>
  </si>
  <si>
    <t>Začátek výstavby:</t>
  </si>
  <si>
    <t>Konec výstavby:</t>
  </si>
  <si>
    <t>Zpracováno dne:</t>
  </si>
  <si>
    <t>MJ</t>
  </si>
  <si>
    <t>soubor</t>
  </si>
  <si>
    <t>m2</t>
  </si>
  <si>
    <t>m</t>
  </si>
  <si>
    <t>t</t>
  </si>
  <si>
    <t>Množství</t>
  </si>
  <si>
    <t>Cena/MJ</t>
  </si>
  <si>
    <t>(Kč)</t>
  </si>
  <si>
    <t>Objednatel:</t>
  </si>
  <si>
    <t>Projektant:</t>
  </si>
  <si>
    <t>Zhotovitel:</t>
  </si>
  <si>
    <t>Zpracoval:</t>
  </si>
  <si>
    <t>Náklady (Kč)</t>
  </si>
  <si>
    <t>Dodávka</t>
  </si>
  <si>
    <t>Celkem:</t>
  </si>
  <si>
    <t>Statutární město Jihlava</t>
  </si>
  <si>
    <t> </t>
  </si>
  <si>
    <t>dle výběrového řízení</t>
  </si>
  <si>
    <t>Montáž</t>
  </si>
  <si>
    <t>Celkem</t>
  </si>
  <si>
    <t>Hmotnost (t)</t>
  </si>
  <si>
    <t>Jednot.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</si>
  <si>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</si>
  <si>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</si>
  <si>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</si>
  <si>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</si>
  <si>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</si>
  <si>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</si>
  <si>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</si>
  <si>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</si>
  <si>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</si>
  <si>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010VD_</t>
  </si>
  <si>
    <t>020VD_</t>
  </si>
  <si>
    <t>57_</t>
  </si>
  <si>
    <t>91_</t>
  </si>
  <si>
    <t>H22_</t>
  </si>
  <si>
    <t>S_</t>
  </si>
  <si>
    <t>0_</t>
  </si>
  <si>
    <t>5_</t>
  </si>
  <si>
    <t>9_</t>
  </si>
  <si>
    <t>_</t>
  </si>
  <si>
    <t>MAT</t>
  </si>
  <si>
    <t>WORK</t>
  </si>
  <si>
    <t>CELK</t>
  </si>
  <si>
    <t>ISWORK</t>
  </si>
  <si>
    <t>P</t>
  </si>
  <si>
    <t>GROUPCODE</t>
  </si>
  <si>
    <t>Stavební rozpočet - rekapitulace</t>
  </si>
  <si>
    <t>Zkrácený popis</t>
  </si>
  <si>
    <t>Náklady (Kč) - dodávka</t>
  </si>
  <si>
    <t>Náklady (Kč) - Montáž</t>
  </si>
  <si>
    <t>Náklady (Kč) - celkem</t>
  </si>
  <si>
    <t>Celková hmotnost (t)</t>
  </si>
  <si>
    <t>T</t>
  </si>
  <si>
    <t>Rozpočtové náklady v Kč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</si>
  <si>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</si>
  <si>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</si>
  <si>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</si>
  <si>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</si>
  <si>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</si>
  <si>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</si>
  <si>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</si>
  <si>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</si>
  <si>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Základ 15%</t>
  </si>
  <si>
    <t>Základ 21%</t>
  </si>
  <si>
    <t>Projektant</t>
  </si>
  <si>
    <t>Datum, razítko a podpis</t>
  </si>
  <si>
    <t>Základní rozpočtové náklady</t>
  </si>
  <si>
    <t>Dodávky</t>
  </si>
  <si>
    <t>Krycí list rozpočtu</t>
  </si>
  <si>
    <t>B</t>
  </si>
  <si>
    <t>Práce přesčas</t>
  </si>
  <si>
    <t>Bez pevné podl.</t>
  </si>
  <si>
    <t>Kulturní památka</t>
  </si>
  <si>
    <t>DN celkem</t>
  </si>
  <si>
    <t>DN celkem z obj.</t>
  </si>
  <si>
    <t>DPH 15%</t>
  </si>
  <si>
    <t>DPH 21%</t>
  </si>
  <si>
    <t>Objednatel</t>
  </si>
  <si>
    <t>Doplňkové náklady</t>
  </si>
  <si>
    <t>C</t>
  </si>
  <si>
    <t>Zařízení staveniště</t>
  </si>
  <si>
    <t>Mimostav. doprava</t>
  </si>
  <si>
    <t>Územní vlivy</t>
  </si>
  <si>
    <t>Provozní vlivy</t>
  </si>
  <si>
    <t>Ostatní</t>
  </si>
  <si>
    <t>NUS z rozpočtu</t>
  </si>
  <si>
    <t>NUS celkem</t>
  </si>
  <si>
    <t>NUS celkem z obj.</t>
  </si>
  <si>
    <t>ORN celkem</t>
  </si>
  <si>
    <t>ORN celkem z obj.</t>
  </si>
  <si>
    <t>Celkem bez DPH</t>
  </si>
  <si>
    <t>Celkem včetně DPH</t>
  </si>
  <si>
    <t>Zhotovitel</t>
  </si>
  <si>
    <t>IČ/DIČ:</t>
  </si>
  <si>
    <t>Položek:</t>
  </si>
  <si>
    <t>Datum:</t>
  </si>
  <si>
    <t>Náklady na umístění stavby (NUS)</t>
  </si>
  <si>
    <t>00286010/</t>
  </si>
  <si>
    <t>Ing. Bc. Karel Trojan</t>
  </si>
  <si>
    <t>trvale pružný asfaltový tmel</t>
  </si>
  <si>
    <t>113151314R00</t>
  </si>
  <si>
    <t>577132111R00</t>
  </si>
  <si>
    <t>Dopravně inženýrská opatření po dobu stavby vč. vypracování projektu DIO, prováděná v souladu s pokyny Policie ČR - dopravního inspektorátu, dle pokynů příslušného odboru dopravy a správce komunikace - Služby města Jihlavy a dle pokynů dalších příslušných orgánů._x000D_
Včetně veškerého přechodného dopravního značení, vč. instalace a zajištění servisu značení po celou dobu trvání stavby._x000D_
Zajištění prací pro "Stanovení přechodné úpravy silničního provozu na komunikacích dle §77 zákona č. 361/2000 Sb., O provozu na pozemních komunikacích."</t>
  </si>
  <si>
    <t>12</t>
  </si>
  <si>
    <t>Oprava povrchu komunikace č. 43b "Kosov páteřní"</t>
  </si>
  <si>
    <t>23.01.2026</t>
  </si>
  <si>
    <t>Frézování živič.krytu do 500 m2, s překážkami, tl.5 cm</t>
  </si>
  <si>
    <t>Beton asfalt. ACO 11+ obrusný, š.nad 3 m, tl. 5 cm</t>
  </si>
  <si>
    <t>podél pracovních spár</t>
  </si>
  <si>
    <t xml:space="preserve">Pozn. doprava recyklátu na skládku objednatele do 10 km od místa provádění stavby </t>
  </si>
  <si>
    <t>10</t>
  </si>
  <si>
    <t>13</t>
  </si>
  <si>
    <t>14</t>
  </si>
  <si>
    <t>15</t>
  </si>
  <si>
    <t>Položka obsahuje nakládku R-materiálu a zametení (dočištění) frézovaných míst - frézování zápisů na začátku a koci úseku a u vjezdů k nemovitostem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</si>
</sst>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color indexed="61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58"/>
      <name val="Arial"/>
      <family val="2"/>
      <charset val="238"/>
    </font>
    <font>
      <i/>
      <sz val="10"/>
      <color indexed="59"/>
      <name val="Arial"/>
      <family val="2"/>
      <charset val="238"/>
    </font>
    <font>
      <i/>
      <sz val="10"/>
      <color indexed="63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6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7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7CE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9" fontId="4" fillId="0" borderId="5" xfId="0" applyNumberFormat="1" applyFont="1" applyFill="1" applyBorder="1" applyAlignment="1" applyProtection="1">
      <alignment horizontal="left" vertical="center"/>
    </xf>
    <xf numFmtId="0" fontId="22" fillId="6" borderId="0" applyNumberFormat="0" applyBorder="0" applyAlignment="0" applyProtection="0"/>
    <xf numFmtId="0" fontId="1" fillId="0" borderId="0"/>
  </cellStyleXfs>
  <cellXfs count="168">
    <xf numFmtId="0" fontId="2" fillId="0" borderId="0" xfId="0" applyFont="1" applyAlignment="1">
      <alignment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49" fontId="2" fillId="0" borderId="6" xfId="0" applyNumberFormat="1" applyFont="1" applyFill="1" applyBorder="1" applyAlignment="1" applyProtection="1">
      <alignment horizontal="left" vertical="center"/>
    </xf>
    <xf numFmtId="49" fontId="5" fillId="2" borderId="7" xfId="0" applyNumberFormat="1" applyFont="1" applyFill="1" applyBorder="1" applyAlignment="1" applyProtection="1">
      <alignment horizontal="left" vertical="center"/>
    </xf>
    <xf numFmtId="49" fontId="6" fillId="0" borderId="3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vertical="center"/>
    </xf>
    <xf numFmtId="49" fontId="5" fillId="2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49" fontId="2" fillId="0" borderId="12" xfId="0" applyNumberFormat="1" applyFont="1" applyFill="1" applyBorder="1" applyAlignment="1" applyProtection="1">
      <alignment horizontal="left" vertical="center"/>
    </xf>
    <xf numFmtId="49" fontId="8" fillId="2" borderId="13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9" fontId="10" fillId="0" borderId="0" xfId="0" applyNumberFormat="1" applyFont="1" applyFill="1" applyBorder="1" applyAlignment="1" applyProtection="1">
      <alignment horizontal="right" vertical="top"/>
    </xf>
    <xf numFmtId="49" fontId="4" fillId="0" borderId="12" xfId="0" applyNumberFormat="1" applyFont="1" applyFill="1" applyBorder="1" applyAlignment="1" applyProtection="1">
      <alignment horizontal="left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5" fillId="2" borderId="13" xfId="0" applyNumberFormat="1" applyFont="1" applyFill="1" applyBorder="1" applyAlignment="1" applyProtection="1">
      <alignment horizontal="left" vertical="center"/>
    </xf>
    <xf numFmtId="49" fontId="5" fillId="2" borderId="0" xfId="0" applyNumberFormat="1" applyFont="1" applyFill="1" applyBorder="1" applyAlignment="1" applyProtection="1">
      <alignment horizontal="lef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12" fillId="0" borderId="0" xfId="0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Fill="1" applyBorder="1" applyAlignment="1" applyProtection="1">
      <alignment horizontal="center" vertical="center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18" xfId="0" applyNumberFormat="1" applyFont="1" applyFill="1" applyBorder="1" applyAlignment="1" applyProtection="1">
      <alignment horizontal="center" vertical="center"/>
    </xf>
    <xf numFmtId="49" fontId="4" fillId="0" borderId="20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right" vertical="center"/>
    </xf>
    <xf numFmtId="49" fontId="8" fillId="2" borderId="0" xfId="0" applyNumberFormat="1" applyFont="1" applyFill="1" applyBorder="1" applyAlignment="1" applyProtection="1">
      <alignment horizontal="right"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right" vertical="center"/>
    </xf>
    <xf numFmtId="4" fontId="8" fillId="2" borderId="13" xfId="0" applyNumberFormat="1" applyFont="1" applyFill="1" applyBorder="1" applyAlignment="1" applyProtection="1">
      <alignment horizontal="right" vertical="center"/>
    </xf>
    <xf numFmtId="4" fontId="8" fillId="2" borderId="0" xfId="0" applyNumberFormat="1" applyFont="1" applyFill="1" applyBorder="1" applyAlignment="1" applyProtection="1">
      <alignment horizontal="righ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49" fontId="4" fillId="0" borderId="27" xfId="0" applyNumberFormat="1" applyFont="1" applyFill="1" applyBorder="1" applyAlignment="1" applyProtection="1">
      <alignment horizontal="left" vertical="center"/>
    </xf>
    <xf numFmtId="49" fontId="2" fillId="0" borderId="7" xfId="0" applyNumberFormat="1" applyFont="1" applyFill="1" applyBorder="1" applyAlignment="1" applyProtection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4" fillId="0" borderId="28" xfId="0" applyNumberFormat="1" applyFont="1" applyFill="1" applyBorder="1" applyAlignment="1" applyProtection="1">
      <alignment horizontal="left" vertical="center"/>
    </xf>
    <xf numFmtId="49" fontId="2" fillId="0" borderId="13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center" vertical="center"/>
    </xf>
    <xf numFmtId="49" fontId="4" fillId="0" borderId="30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right" vertical="center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24" xfId="0" applyNumberFormat="1" applyFont="1" applyFill="1" applyBorder="1" applyAlignment="1" applyProtection="1">
      <alignment horizontal="right" vertical="center"/>
    </xf>
    <xf numFmtId="4" fontId="2" fillId="0" borderId="22" xfId="0" applyNumberFormat="1" applyFont="1" applyFill="1" applyBorder="1" applyAlignment="1" applyProtection="1">
      <alignment horizontal="right" vertical="center"/>
    </xf>
    <xf numFmtId="4" fontId="2" fillId="0" borderId="25" xfId="0" applyNumberFormat="1" applyFont="1" applyFill="1" applyBorder="1" applyAlignment="1" applyProtection="1">
      <alignment horizontal="right" vertical="center"/>
    </xf>
    <xf numFmtId="49" fontId="14" fillId="3" borderId="35" xfId="0" applyNumberFormat="1" applyFont="1" applyFill="1" applyBorder="1" applyAlignment="1" applyProtection="1">
      <alignment horizontal="center" vertical="center"/>
    </xf>
    <xf numFmtId="49" fontId="15" fillId="0" borderId="36" xfId="0" applyNumberFormat="1" applyFont="1" applyFill="1" applyBorder="1" applyAlignment="1" applyProtection="1">
      <alignment horizontal="left" vertical="center"/>
    </xf>
    <xf numFmtId="49" fontId="15" fillId="0" borderId="37" xfId="0" applyNumberFormat="1" applyFont="1" applyFill="1" applyBorder="1" applyAlignment="1" applyProtection="1">
      <alignment horizontal="left" vertical="center"/>
    </xf>
    <xf numFmtId="0" fontId="2" fillId="0" borderId="39" xfId="0" applyNumberFormat="1" applyFont="1" applyFill="1" applyBorder="1" applyAlignment="1" applyProtection="1">
      <alignment vertical="center"/>
    </xf>
    <xf numFmtId="49" fontId="7" fillId="0" borderId="13" xfId="0" applyNumberFormat="1" applyFont="1" applyFill="1" applyBorder="1" applyAlignment="1" applyProtection="1">
      <alignment horizontal="left" vertical="center"/>
    </xf>
    <xf numFmtId="49" fontId="16" fillId="0" borderId="35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4" fontId="16" fillId="0" borderId="35" xfId="0" applyNumberFormat="1" applyFont="1" applyFill="1" applyBorder="1" applyAlignment="1" applyProtection="1">
      <alignment horizontal="right" vertical="center"/>
    </xf>
    <xf numFmtId="49" fontId="16" fillId="0" borderId="35" xfId="0" applyNumberFormat="1" applyFont="1" applyFill="1" applyBorder="1" applyAlignment="1" applyProtection="1">
      <alignment horizontal="right" vertical="center"/>
    </xf>
    <xf numFmtId="4" fontId="16" fillId="0" borderId="18" xfId="0" applyNumberFormat="1" applyFont="1" applyFill="1" applyBorder="1" applyAlignment="1" applyProtection="1">
      <alignment horizontal="right" vertical="center"/>
    </xf>
    <xf numFmtId="0" fontId="2" fillId="0" borderId="24" xfId="0" applyNumberFormat="1" applyFont="1" applyFill="1" applyBorder="1" applyAlignment="1" applyProtection="1">
      <alignment vertical="center"/>
    </xf>
    <xf numFmtId="4" fontId="15" fillId="3" borderId="4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/>
    <xf numFmtId="49" fontId="2" fillId="4" borderId="43" xfId="0" applyNumberFormat="1" applyFont="1" applyFill="1" applyBorder="1" applyAlignment="1" applyProtection="1">
      <alignment horizontal="left" vertical="center"/>
    </xf>
    <xf numFmtId="4" fontId="2" fillId="4" borderId="43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49" fontId="6" fillId="5" borderId="44" xfId="0" applyNumberFormat="1" applyFont="1" applyFill="1" applyBorder="1" applyAlignment="1" applyProtection="1">
      <alignment horizontal="left" vertical="center"/>
    </xf>
    <xf numFmtId="0" fontId="1" fillId="5" borderId="43" xfId="1" applyNumberFormat="1" applyFont="1" applyFill="1" applyBorder="1" applyAlignment="1" applyProtection="1"/>
    <xf numFmtId="49" fontId="12" fillId="5" borderId="43" xfId="0" applyNumberFormat="1" applyFont="1" applyFill="1" applyBorder="1" applyAlignment="1" applyProtection="1">
      <alignment horizontal="left" vertical="center"/>
    </xf>
    <xf numFmtId="4" fontId="6" fillId="5" borderId="44" xfId="0" applyNumberFormat="1" applyFont="1" applyFill="1" applyBorder="1" applyAlignment="1" applyProtection="1">
      <alignment horizontal="right" vertical="center"/>
    </xf>
    <xf numFmtId="4" fontId="12" fillId="5" borderId="43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" fontId="6" fillId="0" borderId="0" xfId="0" applyNumberFormat="1" applyFont="1" applyFill="1" applyBorder="1" applyAlignment="1" applyProtection="1">
      <alignment horizontal="right" vertical="center"/>
    </xf>
    <xf numFmtId="49" fontId="4" fillId="0" borderId="9" xfId="0" applyNumberFormat="1" applyFont="1" applyFill="1" applyBorder="1" applyAlignment="1" applyProtection="1">
      <alignment horizontal="lef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Alignment="1">
      <alignment vertical="center"/>
    </xf>
    <xf numFmtId="49" fontId="20" fillId="4" borderId="43" xfId="0" applyNumberFormat="1" applyFont="1" applyFill="1" applyBorder="1" applyAlignment="1" applyProtection="1">
      <alignment horizontal="left" vertical="center"/>
    </xf>
    <xf numFmtId="49" fontId="21" fillId="0" borderId="3" xfId="0" applyNumberFormat="1" applyFont="1" applyFill="1" applyBorder="1" applyAlignment="1" applyProtection="1">
      <alignment horizontal="left" vertical="center"/>
    </xf>
    <xf numFmtId="49" fontId="20" fillId="0" borderId="3" xfId="0" applyNumberFormat="1" applyFont="1" applyFill="1" applyBorder="1" applyAlignment="1" applyProtection="1">
      <alignment horizontal="left" vertical="center"/>
    </xf>
    <xf numFmtId="49" fontId="20" fillId="0" borderId="0" xfId="0" applyNumberFormat="1" applyFont="1" applyFill="1" applyBorder="1" applyAlignment="1" applyProtection="1">
      <alignment horizontal="left" vertical="center"/>
    </xf>
    <xf numFmtId="49" fontId="19" fillId="2" borderId="0" xfId="0" applyNumberFormat="1" applyFont="1" applyFill="1" applyBorder="1" applyAlignment="1" applyProtection="1">
      <alignment horizontal="left" vertical="center"/>
    </xf>
    <xf numFmtId="4" fontId="18" fillId="0" borderId="9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3" applyNumberFormat="1" applyFont="1" applyFill="1" applyBorder="1" applyAlignment="1" applyProtection="1">
      <alignment horizontal="left" vertical="center"/>
    </xf>
    <xf numFmtId="4" fontId="6" fillId="0" borderId="22" xfId="0" applyNumberFormat="1" applyFont="1" applyFill="1" applyBorder="1" applyAlignment="1" applyProtection="1">
      <alignment horizontal="right" vertical="center"/>
    </xf>
    <xf numFmtId="4" fontId="8" fillId="2" borderId="22" xfId="0" applyNumberFormat="1" applyFont="1" applyFill="1" applyBorder="1" applyAlignment="1" applyProtection="1">
      <alignment horizontal="right" vertical="center"/>
    </xf>
    <xf numFmtId="0" fontId="11" fillId="0" borderId="22" xfId="0" applyNumberFormat="1" applyFont="1" applyFill="1" applyBorder="1" applyAlignment="1" applyProtection="1">
      <alignment horizontal="left" vertical="center"/>
    </xf>
    <xf numFmtId="49" fontId="5" fillId="0" borderId="0" xfId="3" applyNumberFormat="1" applyFont="1" applyFill="1" applyBorder="1" applyAlignment="1" applyProtection="1">
      <alignment horizontal="left" vertical="center" wrapText="1"/>
    </xf>
    <xf numFmtId="49" fontId="4" fillId="0" borderId="45" xfId="0" applyNumberFormat="1" applyFont="1" applyFill="1" applyBorder="1" applyAlignment="1" applyProtection="1">
      <alignment horizontal="left" vertical="center"/>
    </xf>
    <xf numFmtId="49" fontId="4" fillId="0" borderId="45" xfId="0" applyNumberFormat="1" applyFont="1" applyFill="1" applyBorder="1" applyAlignment="1" applyProtection="1">
      <alignment horizontal="center" vertical="center"/>
    </xf>
    <xf numFmtId="49" fontId="4" fillId="0" borderId="46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5" borderId="43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49" fontId="4" fillId="0" borderId="21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49" fontId="23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9" fillId="0" borderId="22" xfId="0" applyNumberFormat="1" applyFont="1" applyFill="1" applyBorder="1" applyAlignment="1" applyProtection="1">
      <alignment horizontal="left" vertical="top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4" fillId="0" borderId="47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49" fontId="4" fillId="0" borderId="15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49" fontId="4" fillId="0" borderId="22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/>
    </xf>
    <xf numFmtId="0" fontId="2" fillId="0" borderId="21" xfId="0" applyNumberFormat="1" applyFont="1" applyFill="1" applyBorder="1" applyAlignment="1" applyProtection="1">
      <alignment horizontal="left" vertical="center"/>
    </xf>
    <xf numFmtId="49" fontId="16" fillId="0" borderId="26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31" xfId="0" applyNumberFormat="1" applyFont="1" applyFill="1" applyBorder="1" applyAlignment="1" applyProtection="1">
      <alignment horizontal="left" vertical="center"/>
    </xf>
    <xf numFmtId="49" fontId="16" fillId="0" borderId="40" xfId="0" applyNumberFormat="1" applyFont="1" applyFill="1" applyBorder="1" applyAlignment="1" applyProtection="1">
      <alignment horizontal="left" vertical="center"/>
    </xf>
    <xf numFmtId="0" fontId="16" fillId="0" borderId="10" xfId="0" applyNumberFormat="1" applyFont="1" applyFill="1" applyBorder="1" applyAlignment="1" applyProtection="1">
      <alignment horizontal="left" vertical="center"/>
    </xf>
    <xf numFmtId="0" fontId="16" fillId="0" borderId="42" xfId="0" applyNumberFormat="1" applyFont="1" applyFill="1" applyBorder="1" applyAlignment="1" applyProtection="1">
      <alignment horizontal="left" vertical="center"/>
    </xf>
    <xf numFmtId="49" fontId="15" fillId="3" borderId="38" xfId="0" applyNumberFormat="1" applyFont="1" applyFill="1" applyBorder="1" applyAlignment="1" applyProtection="1">
      <alignment horizontal="left" vertical="center"/>
    </xf>
    <xf numFmtId="0" fontId="15" fillId="3" borderId="34" xfId="0" applyNumberFormat="1" applyFont="1" applyFill="1" applyBorder="1" applyAlignment="1" applyProtection="1">
      <alignment horizontal="left" vertical="center"/>
    </xf>
    <xf numFmtId="49" fontId="16" fillId="0" borderId="33" xfId="0" applyNumberFormat="1" applyFont="1" applyFill="1" applyBorder="1" applyAlignment="1" applyProtection="1">
      <alignment horizontal="left" vertical="center"/>
    </xf>
    <xf numFmtId="0" fontId="16" fillId="0" borderId="13" xfId="0" applyNumberFormat="1" applyFont="1" applyFill="1" applyBorder="1" applyAlignment="1" applyProtection="1">
      <alignment horizontal="left" vertical="center"/>
    </xf>
    <xf numFmtId="0" fontId="16" fillId="0" borderId="32" xfId="0" applyNumberFormat="1" applyFont="1" applyFill="1" applyBorder="1" applyAlignment="1" applyProtection="1">
      <alignment horizontal="left" vertical="center"/>
    </xf>
    <xf numFmtId="49" fontId="15" fillId="0" borderId="38" xfId="0" applyNumberFormat="1" applyFont="1" applyFill="1" applyBorder="1" applyAlignment="1" applyProtection="1">
      <alignment horizontal="left" vertical="center"/>
    </xf>
    <xf numFmtId="0" fontId="15" fillId="0" borderId="41" xfId="0" applyNumberFormat="1" applyFont="1" applyFill="1" applyBorder="1" applyAlignment="1" applyProtection="1">
      <alignment horizontal="left" vertical="center"/>
    </xf>
    <xf numFmtId="49" fontId="16" fillId="0" borderId="38" xfId="0" applyNumberFormat="1" applyFont="1" applyFill="1" applyBorder="1" applyAlignment="1" applyProtection="1">
      <alignment horizontal="left" vertical="center"/>
    </xf>
    <xf numFmtId="0" fontId="16" fillId="0" borderId="41" xfId="0" applyNumberFormat="1" applyFont="1" applyFill="1" applyBorder="1" applyAlignment="1" applyProtection="1">
      <alignment horizontal="left" vertical="center"/>
    </xf>
    <xf numFmtId="49" fontId="13" fillId="0" borderId="34" xfId="0" applyNumberFormat="1" applyFont="1" applyFill="1" applyBorder="1" applyAlignment="1" applyProtection="1">
      <alignment horizontal="center" vertical="center"/>
    </xf>
    <xf numFmtId="0" fontId="13" fillId="0" borderId="34" xfId="0" applyNumberFormat="1" applyFont="1" applyFill="1" applyBorder="1" applyAlignment="1" applyProtection="1">
      <alignment horizontal="center" vertical="center"/>
    </xf>
    <xf numFmtId="49" fontId="17" fillId="0" borderId="38" xfId="0" applyNumberFormat="1" applyFont="1" applyFill="1" applyBorder="1" applyAlignment="1" applyProtection="1">
      <alignment horizontal="left" vertical="center"/>
    </xf>
    <xf numFmtId="0" fontId="17" fillId="0" borderId="41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5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2" fillId="0" borderId="21" xfId="0" applyNumberFormat="1" applyFont="1" applyFill="1" applyBorder="1" applyAlignment="1" applyProtection="1">
      <alignment horizontal="left" vertical="center"/>
    </xf>
    <xf numFmtId="4" fontId="6" fillId="0" borderId="0" xfId="0" applyNumberFormat="1" applyFont="1" applyFill="1" applyBorder="1" applyAlignment="1" applyProtection="1">
      <alignment horizontal="right" vertical="center"/>
      <protection locked="0"/>
    </xf>
    <xf numFmtId="4" fontId="2" fillId="4" borderId="43" xfId="0" applyNumberFormat="1" applyFont="1" applyFill="1" applyBorder="1" applyAlignment="1" applyProtection="1">
      <alignment horizontal="right" vertical="center"/>
      <protection locked="0"/>
    </xf>
    <xf numFmtId="4" fontId="2" fillId="0" borderId="0" xfId="0" applyNumberFormat="1" applyFont="1" applyFill="1" applyBorder="1" applyAlignment="1" applyProtection="1">
      <alignment horizontal="right" vertical="center"/>
      <protection locked="0"/>
    </xf>
    <xf numFmtId="4" fontId="6" fillId="5" borderId="44" xfId="0" applyNumberFormat="1" applyFont="1" applyFill="1" applyBorder="1" applyAlignment="1" applyProtection="1">
      <alignment horizontal="right" vertical="center"/>
      <protection locked="0"/>
    </xf>
  </cellXfs>
  <cellStyles count="3">
    <cellStyle name="Chybně" xfId="2"/>
    <cellStyle name="Normální" xfId="0" builtinId="0"/>
    <cellStyle name="Normální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000000"/>
      <rgbColor rgb="00000000"/>
      <rgbColor rgb="00C0C0C0"/>
      <rgbColor rgb="00C0C0C0"/>
      <rgbColor rgb="000000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5"/>
  <sheetViews>
    <sheetView workbookViewId="0">
      <pane ySplit="11" topLeftCell="A24" activePane="bottomLeft" state="frozenSplit"/>
      <selection pane="bottomLeft" activeCell="G51" activeCellId="14" sqref="G13 G15 G17 G19 G21 G23 G25 G28 G31 G34 G37 G42 G47 G50 G51"/>
    </sheetView>
  </sheetViews>
  <sheetFormatPr defaultColWidth="11.53515625" defaultRowHeight="12.45" x14ac:dyDescent="0.3"/>
  <cols>
    <col min="1" max="1" width="3.69140625" customWidth="1"/>
    <col min="2" max="2" width="7.53515625" customWidth="1"/>
    <col min="3" max="3" width="14.3046875" customWidth="1"/>
    <col min="4" max="4" width="49.69140625" customWidth="1"/>
    <col min="5" max="5" width="6.4609375" customWidth="1"/>
    <col min="6" max="6" width="12.84375" customWidth="1"/>
    <col min="7" max="7" width="12" customWidth="1"/>
    <col min="8" max="9" width="14.3046875" customWidth="1"/>
    <col min="10" max="10" width="14.07421875" customWidth="1"/>
    <col min="11" max="12" width="11.69140625" customWidth="1"/>
    <col min="24" max="57" width="12.07421875" hidden="1" customWidth="1"/>
    <col min="58" max="58" width="4.4609375" hidden="1" customWidth="1"/>
    <col min="59" max="62" width="12.07421875" hidden="1" customWidth="1"/>
    <col min="63" max="63" width="12.4609375" hidden="1" customWidth="1"/>
  </cols>
  <sheetData>
    <row r="1" spans="1:63" ht="72.900000000000006" customHeight="1" x14ac:dyDescent="0.3">
      <c r="A1" s="1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63" x14ac:dyDescent="0.3">
      <c r="A2" s="130" t="s">
        <v>1</v>
      </c>
      <c r="B2" s="131"/>
      <c r="C2" s="131"/>
      <c r="D2" s="132" t="s">
        <v>174</v>
      </c>
      <c r="E2" s="134" t="s">
        <v>65</v>
      </c>
      <c r="F2" s="131"/>
      <c r="G2" s="134" t="s">
        <v>6</v>
      </c>
      <c r="H2" s="135" t="s">
        <v>77</v>
      </c>
      <c r="I2" s="135" t="s">
        <v>84</v>
      </c>
      <c r="J2" s="131"/>
      <c r="K2" s="131"/>
      <c r="L2" s="131"/>
      <c r="M2" s="5"/>
    </row>
    <row r="3" spans="1:63" x14ac:dyDescent="0.3">
      <c r="A3" s="126"/>
      <c r="B3" s="112"/>
      <c r="C3" s="112"/>
      <c r="D3" s="133"/>
      <c r="E3" s="112"/>
      <c r="F3" s="112"/>
      <c r="G3" s="112"/>
      <c r="H3" s="112"/>
      <c r="I3" s="112"/>
      <c r="J3" s="112"/>
      <c r="K3" s="112"/>
      <c r="L3" s="112"/>
      <c r="M3" s="5"/>
    </row>
    <row r="4" spans="1:63" x14ac:dyDescent="0.3">
      <c r="A4" s="118" t="s">
        <v>2</v>
      </c>
      <c r="B4" s="112"/>
      <c r="C4" s="112"/>
      <c r="D4" s="111" t="s">
        <v>6</v>
      </c>
      <c r="E4" s="121" t="s">
        <v>66</v>
      </c>
      <c r="F4" s="112"/>
      <c r="G4" s="121" t="s">
        <v>6</v>
      </c>
      <c r="H4" s="111" t="s">
        <v>78</v>
      </c>
      <c r="I4" s="127" t="s">
        <v>85</v>
      </c>
      <c r="J4" s="112"/>
      <c r="K4" s="112"/>
      <c r="L4" s="128"/>
      <c r="M4" s="5"/>
    </row>
    <row r="5" spans="1:63" x14ac:dyDescent="0.3">
      <c r="A5" s="126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28"/>
      <c r="M5" s="5"/>
    </row>
    <row r="6" spans="1:63" x14ac:dyDescent="0.3">
      <c r="A6" s="118" t="s">
        <v>3</v>
      </c>
      <c r="B6" s="112"/>
      <c r="C6" s="112"/>
      <c r="D6" s="111" t="s">
        <v>34</v>
      </c>
      <c r="E6" s="121" t="s">
        <v>67</v>
      </c>
      <c r="F6" s="112"/>
      <c r="G6" s="121" t="s">
        <v>6</v>
      </c>
      <c r="H6" s="111" t="s">
        <v>79</v>
      </c>
      <c r="I6" s="111" t="s">
        <v>86</v>
      </c>
      <c r="J6" s="112"/>
      <c r="K6" s="112"/>
      <c r="L6" s="112"/>
      <c r="M6" s="5"/>
    </row>
    <row r="7" spans="1:63" x14ac:dyDescent="0.3">
      <c r="A7" s="126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5"/>
    </row>
    <row r="8" spans="1:63" x14ac:dyDescent="0.3">
      <c r="A8" s="118" t="s">
        <v>4</v>
      </c>
      <c r="B8" s="112"/>
      <c r="C8" s="112"/>
      <c r="D8" s="111" t="s">
        <v>6</v>
      </c>
      <c r="E8" s="121" t="s">
        <v>68</v>
      </c>
      <c r="F8" s="112"/>
      <c r="G8" s="121" t="s">
        <v>175</v>
      </c>
      <c r="H8" s="111" t="s">
        <v>80</v>
      </c>
      <c r="I8" s="111" t="s">
        <v>168</v>
      </c>
      <c r="J8" s="112"/>
      <c r="K8" s="112"/>
      <c r="L8" s="112"/>
      <c r="M8" s="5"/>
    </row>
    <row r="9" spans="1:63" ht="12.9" thickBot="1" x14ac:dyDescent="0.35">
      <c r="A9" s="119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5"/>
    </row>
    <row r="10" spans="1:63" x14ac:dyDescent="0.3">
      <c r="A10" s="1" t="s">
        <v>5</v>
      </c>
      <c r="B10" s="10" t="s">
        <v>18</v>
      </c>
      <c r="C10" s="10" t="s">
        <v>19</v>
      </c>
      <c r="D10" s="100" t="s">
        <v>35</v>
      </c>
      <c r="E10" s="100" t="s">
        <v>69</v>
      </c>
      <c r="F10" s="101" t="s">
        <v>74</v>
      </c>
      <c r="G10" s="102" t="s">
        <v>75</v>
      </c>
      <c r="H10" s="122" t="s">
        <v>81</v>
      </c>
      <c r="I10" s="123"/>
      <c r="J10" s="124"/>
      <c r="K10" s="125" t="s">
        <v>89</v>
      </c>
      <c r="L10" s="124"/>
      <c r="M10" s="32"/>
      <c r="BJ10" s="30" t="s">
        <v>113</v>
      </c>
      <c r="BK10" s="36" t="s">
        <v>115</v>
      </c>
    </row>
    <row r="11" spans="1:63" x14ac:dyDescent="0.3">
      <c r="A11" s="2" t="s">
        <v>6</v>
      </c>
      <c r="B11" s="11" t="s">
        <v>6</v>
      </c>
      <c r="C11" s="11" t="s">
        <v>6</v>
      </c>
      <c r="D11" s="18" t="s">
        <v>36</v>
      </c>
      <c r="E11" s="11" t="s">
        <v>6</v>
      </c>
      <c r="F11" s="11" t="s">
        <v>6</v>
      </c>
      <c r="G11" s="25" t="s">
        <v>76</v>
      </c>
      <c r="H11" s="26" t="s">
        <v>82</v>
      </c>
      <c r="I11" s="27" t="s">
        <v>87</v>
      </c>
      <c r="J11" s="28" t="s">
        <v>88</v>
      </c>
      <c r="K11" s="26" t="s">
        <v>90</v>
      </c>
      <c r="L11" s="28" t="s">
        <v>88</v>
      </c>
      <c r="M11" s="32"/>
      <c r="Y11" s="30" t="s">
        <v>91</v>
      </c>
      <c r="Z11" s="30" t="s">
        <v>92</v>
      </c>
      <c r="AA11" s="30" t="s">
        <v>93</v>
      </c>
      <c r="AB11" s="30" t="s">
        <v>94</v>
      </c>
      <c r="AC11" s="30" t="s">
        <v>95</v>
      </c>
      <c r="AD11" s="30" t="s">
        <v>96</v>
      </c>
      <c r="AE11" s="30" t="s">
        <v>97</v>
      </c>
      <c r="AF11" s="30" t="s">
        <v>98</v>
      </c>
      <c r="AG11" s="30" t="s">
        <v>99</v>
      </c>
      <c r="BG11" s="30" t="s">
        <v>110</v>
      </c>
      <c r="BH11" s="30" t="s">
        <v>111</v>
      </c>
      <c r="BI11" s="30" t="s">
        <v>112</v>
      </c>
    </row>
    <row r="12" spans="1:63" x14ac:dyDescent="0.3">
      <c r="A12" s="3"/>
      <c r="B12" s="12"/>
      <c r="C12" s="12" t="s">
        <v>20</v>
      </c>
      <c r="D12" s="12" t="s">
        <v>37</v>
      </c>
      <c r="E12" s="21" t="s">
        <v>6</v>
      </c>
      <c r="F12" s="21" t="s">
        <v>6</v>
      </c>
      <c r="G12" s="21" t="s">
        <v>6</v>
      </c>
      <c r="H12" s="37">
        <f>SUM(H13:H25)</f>
        <v>0</v>
      </c>
      <c r="I12" s="37">
        <f>SUM(I13:I25)</f>
        <v>0</v>
      </c>
      <c r="J12" s="37">
        <f>SUM(J13:J25)</f>
        <v>0</v>
      </c>
      <c r="K12" s="29"/>
      <c r="L12" s="37">
        <f>SUM(L13:L25)</f>
        <v>0</v>
      </c>
      <c r="M12" s="5"/>
      <c r="AH12" s="30"/>
      <c r="AR12" s="38">
        <f>SUM(AI13:AI25)</f>
        <v>0</v>
      </c>
      <c r="AS12" s="38">
        <f>SUM(AJ13:AJ25)</f>
        <v>0</v>
      </c>
      <c r="AT12" s="38">
        <f>SUM(AK13:AK25)</f>
        <v>0</v>
      </c>
    </row>
    <row r="13" spans="1:63" x14ac:dyDescent="0.3">
      <c r="A13" s="4" t="s">
        <v>7</v>
      </c>
      <c r="B13" s="13"/>
      <c r="C13" s="13" t="s">
        <v>21</v>
      </c>
      <c r="D13" s="13" t="s">
        <v>38</v>
      </c>
      <c r="E13" s="13" t="s">
        <v>70</v>
      </c>
      <c r="F13" s="23">
        <v>1</v>
      </c>
      <c r="G13" s="164"/>
      <c r="H13" s="23">
        <f>F13*AN13</f>
        <v>0</v>
      </c>
      <c r="I13" s="23">
        <f>F13*AO13</f>
        <v>0</v>
      </c>
      <c r="J13" s="23">
        <f>F13*G13</f>
        <v>0</v>
      </c>
      <c r="K13" s="23">
        <v>0</v>
      </c>
      <c r="L13" s="23">
        <f>F13*K13</f>
        <v>0</v>
      </c>
      <c r="M13" s="5"/>
      <c r="Y13" s="33">
        <f>IF(AP13="5",BI13,0)</f>
        <v>0</v>
      </c>
      <c r="AA13" s="33">
        <f>IF(AP13="1",BG13,0)</f>
        <v>0</v>
      </c>
      <c r="AB13" s="33">
        <f>IF(AP13="1",BH13,0)</f>
        <v>0</v>
      </c>
      <c r="AC13" s="33">
        <f>IF(AP13="7",BG13,0)</f>
        <v>0</v>
      </c>
      <c r="AD13" s="33">
        <f>IF(AP13="7",BH13,0)</f>
        <v>0</v>
      </c>
      <c r="AE13" s="33">
        <f>IF(AP13="2",BG13,0)</f>
        <v>0</v>
      </c>
      <c r="AF13" s="33">
        <f>IF(AP13="2",BH13,0)</f>
        <v>0</v>
      </c>
      <c r="AG13" s="33">
        <f>IF(AP13="0",BI13,0)</f>
        <v>0</v>
      </c>
      <c r="AH13" s="30"/>
      <c r="AI13" s="23">
        <f>IF(AM13=0,J13,0)</f>
        <v>0</v>
      </c>
      <c r="AJ13" s="23">
        <f>IF(AM13=15,J13,0)</f>
        <v>0</v>
      </c>
      <c r="AK13" s="23">
        <f>IF(AM13=21,J13,0)</f>
        <v>0</v>
      </c>
      <c r="AM13" s="33">
        <v>21</v>
      </c>
      <c r="AN13" s="33">
        <f>G13*0</f>
        <v>0</v>
      </c>
      <c r="AO13" s="33">
        <f>G13*(1-0)</f>
        <v>0</v>
      </c>
      <c r="AP13" s="34" t="s">
        <v>7</v>
      </c>
      <c r="AU13" s="33">
        <f>AV13+AW13</f>
        <v>0</v>
      </c>
      <c r="AV13" s="33">
        <f>F13*AN13</f>
        <v>0</v>
      </c>
      <c r="AW13" s="33">
        <f>F13*AO13</f>
        <v>0</v>
      </c>
      <c r="AX13" s="35" t="s">
        <v>100</v>
      </c>
      <c r="AY13" s="35" t="s">
        <v>106</v>
      </c>
      <c r="AZ13" s="30" t="s">
        <v>109</v>
      </c>
      <c r="BB13" s="33">
        <f>AV13+AW13</f>
        <v>0</v>
      </c>
      <c r="BC13" s="33">
        <f>G13/(100-BD13)*100</f>
        <v>0</v>
      </c>
      <c r="BD13" s="33">
        <v>0</v>
      </c>
      <c r="BE13" s="33">
        <f>L13</f>
        <v>0</v>
      </c>
      <c r="BG13" s="23">
        <f>F13*AN13</f>
        <v>0</v>
      </c>
      <c r="BH13" s="23">
        <f>F13*AO13</f>
        <v>0</v>
      </c>
      <c r="BI13" s="23">
        <f>F13*G13</f>
        <v>0</v>
      </c>
      <c r="BJ13" s="23" t="s">
        <v>114</v>
      </c>
      <c r="BK13" s="33" t="s">
        <v>20</v>
      </c>
    </row>
    <row r="14" spans="1:63" ht="57" customHeight="1" x14ac:dyDescent="0.3">
      <c r="A14" s="106"/>
      <c r="C14" s="16" t="s">
        <v>16</v>
      </c>
      <c r="D14" s="114" t="s">
        <v>172</v>
      </c>
      <c r="E14" s="115"/>
      <c r="F14" s="115"/>
      <c r="G14" s="115"/>
      <c r="H14" s="115"/>
      <c r="I14" s="115"/>
      <c r="J14" s="115"/>
      <c r="K14" s="115"/>
      <c r="L14" s="115"/>
      <c r="M14" s="5"/>
    </row>
    <row r="15" spans="1:63" x14ac:dyDescent="0.3">
      <c r="A15" s="4" t="s">
        <v>8</v>
      </c>
      <c r="B15" s="13"/>
      <c r="C15" s="13" t="s">
        <v>21</v>
      </c>
      <c r="D15" s="13" t="s">
        <v>39</v>
      </c>
      <c r="E15" s="13" t="s">
        <v>70</v>
      </c>
      <c r="F15" s="23">
        <v>1</v>
      </c>
      <c r="G15" s="164"/>
      <c r="H15" s="23">
        <f>F15*AN15</f>
        <v>0</v>
      </c>
      <c r="I15" s="23">
        <f>F15*AO15</f>
        <v>0</v>
      </c>
      <c r="J15" s="23">
        <f>F15*G15</f>
        <v>0</v>
      </c>
      <c r="K15" s="23">
        <v>0</v>
      </c>
      <c r="L15" s="23">
        <f>F15*K15</f>
        <v>0</v>
      </c>
      <c r="M15" s="5"/>
      <c r="Y15" s="33">
        <f>IF(AP15="5",BI15,0)</f>
        <v>0</v>
      </c>
      <c r="AA15" s="33">
        <f>IF(AP15="1",BG15,0)</f>
        <v>0</v>
      </c>
      <c r="AB15" s="33">
        <f>IF(AP15="1",BH15,0)</f>
        <v>0</v>
      </c>
      <c r="AC15" s="33">
        <f>IF(AP15="7",BG15,0)</f>
        <v>0</v>
      </c>
      <c r="AD15" s="33">
        <f>IF(AP15="7",BH15,0)</f>
        <v>0</v>
      </c>
      <c r="AE15" s="33">
        <f>IF(AP15="2",BG15,0)</f>
        <v>0</v>
      </c>
      <c r="AF15" s="33">
        <f>IF(AP15="2",BH15,0)</f>
        <v>0</v>
      </c>
      <c r="AG15" s="33">
        <f>IF(AP15="0",BI15,0)</f>
        <v>0</v>
      </c>
      <c r="AH15" s="30"/>
      <c r="AI15" s="23">
        <f>IF(AM15=0,J15,0)</f>
        <v>0</v>
      </c>
      <c r="AJ15" s="23">
        <f>IF(AM15=15,J15,0)</f>
        <v>0</v>
      </c>
      <c r="AK15" s="23">
        <f>IF(AM15=21,J15,0)</f>
        <v>0</v>
      </c>
      <c r="AM15" s="33">
        <v>21</v>
      </c>
      <c r="AN15" s="33">
        <f>G15*0</f>
        <v>0</v>
      </c>
      <c r="AO15" s="33">
        <f>G15*(1-0)</f>
        <v>0</v>
      </c>
      <c r="AP15" s="34" t="s">
        <v>7</v>
      </c>
      <c r="AU15" s="33">
        <f>AV15+AW15</f>
        <v>0</v>
      </c>
      <c r="AV15" s="33">
        <f>F15*AN15</f>
        <v>0</v>
      </c>
      <c r="AW15" s="33">
        <f>F15*AO15</f>
        <v>0</v>
      </c>
      <c r="AX15" s="35" t="s">
        <v>100</v>
      </c>
      <c r="AY15" s="35" t="s">
        <v>106</v>
      </c>
      <c r="AZ15" s="30" t="s">
        <v>109</v>
      </c>
      <c r="BB15" s="33">
        <f>AV15+AW15</f>
        <v>0</v>
      </c>
      <c r="BC15" s="33">
        <f>G15/(100-BD15)*100</f>
        <v>0</v>
      </c>
      <c r="BD15" s="33">
        <v>0</v>
      </c>
      <c r="BE15" s="33">
        <f>L15</f>
        <v>0</v>
      </c>
      <c r="BG15" s="23">
        <f>F15*AN15</f>
        <v>0</v>
      </c>
      <c r="BH15" s="23">
        <f>F15*AO15</f>
        <v>0</v>
      </c>
      <c r="BI15" s="23">
        <f>F15*G15</f>
        <v>0</v>
      </c>
      <c r="BJ15" s="23" t="s">
        <v>114</v>
      </c>
      <c r="BK15" s="33" t="s">
        <v>20</v>
      </c>
    </row>
    <row r="16" spans="1:63" ht="12.9" x14ac:dyDescent="0.3">
      <c r="A16" s="106"/>
      <c r="C16" s="16" t="s">
        <v>16</v>
      </c>
      <c r="D16" s="114" t="s">
        <v>40</v>
      </c>
      <c r="E16" s="115"/>
      <c r="F16" s="115"/>
      <c r="G16" s="115"/>
      <c r="H16" s="115"/>
      <c r="I16" s="115"/>
      <c r="J16" s="115"/>
      <c r="K16" s="115"/>
      <c r="L16" s="115"/>
      <c r="M16" s="5"/>
    </row>
    <row r="17" spans="1:63" x14ac:dyDescent="0.3">
      <c r="A17" s="4" t="s">
        <v>9</v>
      </c>
      <c r="B17" s="13"/>
      <c r="C17" s="13" t="s">
        <v>21</v>
      </c>
      <c r="D17" s="13" t="s">
        <v>41</v>
      </c>
      <c r="E17" s="13" t="s">
        <v>70</v>
      </c>
      <c r="F17" s="23">
        <v>1</v>
      </c>
      <c r="G17" s="164"/>
      <c r="H17" s="23">
        <f>F17*AN17</f>
        <v>0</v>
      </c>
      <c r="I17" s="23">
        <f>F17*AO17</f>
        <v>0</v>
      </c>
      <c r="J17" s="23">
        <f>F17*G17</f>
        <v>0</v>
      </c>
      <c r="K17" s="23">
        <v>0</v>
      </c>
      <c r="L17" s="23">
        <f>F17*K17</f>
        <v>0</v>
      </c>
      <c r="M17" s="5"/>
      <c r="Y17" s="33">
        <f>IF(AP17="5",BI17,0)</f>
        <v>0</v>
      </c>
      <c r="AA17" s="33">
        <f>IF(AP17="1",BG17,0)</f>
        <v>0</v>
      </c>
      <c r="AB17" s="33">
        <f>IF(AP17="1",BH17,0)</f>
        <v>0</v>
      </c>
      <c r="AC17" s="33">
        <f>IF(AP17="7",BG17,0)</f>
        <v>0</v>
      </c>
      <c r="AD17" s="33">
        <f>IF(AP17="7",BH17,0)</f>
        <v>0</v>
      </c>
      <c r="AE17" s="33">
        <f>IF(AP17="2",BG17,0)</f>
        <v>0</v>
      </c>
      <c r="AF17" s="33">
        <f>IF(AP17="2",BH17,0)</f>
        <v>0</v>
      </c>
      <c r="AG17" s="33">
        <f>IF(AP17="0",BI17,0)</f>
        <v>0</v>
      </c>
      <c r="AH17" s="30"/>
      <c r="AI17" s="23">
        <f>IF(AM17=0,J17,0)</f>
        <v>0</v>
      </c>
      <c r="AJ17" s="23">
        <f>IF(AM17=15,J17,0)</f>
        <v>0</v>
      </c>
      <c r="AK17" s="23">
        <f>IF(AM17=21,J17,0)</f>
        <v>0</v>
      </c>
      <c r="AM17" s="33">
        <v>21</v>
      </c>
      <c r="AN17" s="33">
        <f>G17*0</f>
        <v>0</v>
      </c>
      <c r="AO17" s="33">
        <f>G17*(1-0)</f>
        <v>0</v>
      </c>
      <c r="AP17" s="34" t="s">
        <v>7</v>
      </c>
      <c r="AU17" s="33">
        <f>AV17+AW17</f>
        <v>0</v>
      </c>
      <c r="AV17" s="33">
        <f>F17*AN17</f>
        <v>0</v>
      </c>
      <c r="AW17" s="33">
        <f>F17*AO17</f>
        <v>0</v>
      </c>
      <c r="AX17" s="35" t="s">
        <v>100</v>
      </c>
      <c r="AY17" s="35" t="s">
        <v>106</v>
      </c>
      <c r="AZ17" s="30" t="s">
        <v>109</v>
      </c>
      <c r="BB17" s="33">
        <f>AV17+AW17</f>
        <v>0</v>
      </c>
      <c r="BC17" s="33">
        <f>G17/(100-BD17)*100</f>
        <v>0</v>
      </c>
      <c r="BD17" s="33">
        <v>0</v>
      </c>
      <c r="BE17" s="33">
        <f>L17</f>
        <v>0</v>
      </c>
      <c r="BG17" s="23">
        <f>F17*AN17</f>
        <v>0</v>
      </c>
      <c r="BH17" s="23">
        <f>F17*AO17</f>
        <v>0</v>
      </c>
      <c r="BI17" s="23">
        <f>F17*G17</f>
        <v>0</v>
      </c>
      <c r="BJ17" s="23" t="s">
        <v>114</v>
      </c>
      <c r="BK17" s="33" t="s">
        <v>20</v>
      </c>
    </row>
    <row r="18" spans="1:63" ht="25.65" customHeight="1" x14ac:dyDescent="0.3">
      <c r="A18" s="106"/>
      <c r="C18" s="16" t="s">
        <v>16</v>
      </c>
      <c r="D18" s="114" t="s">
        <v>42</v>
      </c>
      <c r="E18" s="115"/>
      <c r="F18" s="115"/>
      <c r="G18" s="115"/>
      <c r="H18" s="115"/>
      <c r="I18" s="115"/>
      <c r="J18" s="115"/>
      <c r="K18" s="115"/>
      <c r="L18" s="115"/>
      <c r="M18" s="5"/>
    </row>
    <row r="19" spans="1:63" x14ac:dyDescent="0.3">
      <c r="A19" s="4" t="s">
        <v>10</v>
      </c>
      <c r="B19" s="13"/>
      <c r="C19" s="13" t="s">
        <v>21</v>
      </c>
      <c r="D19" s="13" t="s">
        <v>43</v>
      </c>
      <c r="E19" s="13" t="s">
        <v>70</v>
      </c>
      <c r="F19" s="23">
        <v>1</v>
      </c>
      <c r="G19" s="164"/>
      <c r="H19" s="23">
        <f>F19*AN19</f>
        <v>0</v>
      </c>
      <c r="I19" s="23">
        <f>F19*AO19</f>
        <v>0</v>
      </c>
      <c r="J19" s="23">
        <f>F19*G19</f>
        <v>0</v>
      </c>
      <c r="K19" s="23">
        <v>0</v>
      </c>
      <c r="L19" s="23">
        <f>F19*K19</f>
        <v>0</v>
      </c>
      <c r="M19" s="5"/>
      <c r="Y19" s="33">
        <f>IF(AP19="5",BI19,0)</f>
        <v>0</v>
      </c>
      <c r="AA19" s="33">
        <f>IF(AP19="1",BG19,0)</f>
        <v>0</v>
      </c>
      <c r="AB19" s="33">
        <f>IF(AP19="1",BH19,0)</f>
        <v>0</v>
      </c>
      <c r="AC19" s="33">
        <f>IF(AP19="7",BG19,0)</f>
        <v>0</v>
      </c>
      <c r="AD19" s="33">
        <f>IF(AP19="7",BH19,0)</f>
        <v>0</v>
      </c>
      <c r="AE19" s="33">
        <f>IF(AP19="2",BG19,0)</f>
        <v>0</v>
      </c>
      <c r="AF19" s="33">
        <f>IF(AP19="2",BH19,0)</f>
        <v>0</v>
      </c>
      <c r="AG19" s="33">
        <f>IF(AP19="0",BI19,0)</f>
        <v>0</v>
      </c>
      <c r="AH19" s="30"/>
      <c r="AI19" s="23">
        <f>IF(AM19=0,J19,0)</f>
        <v>0</v>
      </c>
      <c r="AJ19" s="23">
        <f>IF(AM19=15,J19,0)</f>
        <v>0</v>
      </c>
      <c r="AK19" s="23">
        <f>IF(AM19=21,J19,0)</f>
        <v>0</v>
      </c>
      <c r="AM19" s="33">
        <v>21</v>
      </c>
      <c r="AN19" s="33">
        <f>G19*0</f>
        <v>0</v>
      </c>
      <c r="AO19" s="33">
        <f>G19*(1-0)</f>
        <v>0</v>
      </c>
      <c r="AP19" s="34" t="s">
        <v>7</v>
      </c>
      <c r="AU19" s="33">
        <f>AV19+AW19</f>
        <v>0</v>
      </c>
      <c r="AV19" s="33">
        <f>F19*AN19</f>
        <v>0</v>
      </c>
      <c r="AW19" s="33">
        <f>F19*AO19</f>
        <v>0</v>
      </c>
      <c r="AX19" s="35" t="s">
        <v>100</v>
      </c>
      <c r="AY19" s="35" t="s">
        <v>106</v>
      </c>
      <c r="AZ19" s="30" t="s">
        <v>109</v>
      </c>
      <c r="BB19" s="33">
        <f>AV19+AW19</f>
        <v>0</v>
      </c>
      <c r="BC19" s="33">
        <f>G19/(100-BD19)*100</f>
        <v>0</v>
      </c>
      <c r="BD19" s="33">
        <v>0</v>
      </c>
      <c r="BE19" s="33">
        <f>L19</f>
        <v>0</v>
      </c>
      <c r="BG19" s="23">
        <f>F19*AN19</f>
        <v>0</v>
      </c>
      <c r="BH19" s="23">
        <f>F19*AO19</f>
        <v>0</v>
      </c>
      <c r="BI19" s="23">
        <f>F19*G19</f>
        <v>0</v>
      </c>
      <c r="BJ19" s="23" t="s">
        <v>114</v>
      </c>
      <c r="BK19" s="33" t="s">
        <v>20</v>
      </c>
    </row>
    <row r="20" spans="1:63" ht="12.9" x14ac:dyDescent="0.3">
      <c r="A20" s="106"/>
      <c r="C20" s="16" t="s">
        <v>16</v>
      </c>
      <c r="D20" s="114" t="s">
        <v>44</v>
      </c>
      <c r="E20" s="115"/>
      <c r="F20" s="115"/>
      <c r="G20" s="115"/>
      <c r="H20" s="115"/>
      <c r="I20" s="115"/>
      <c r="J20" s="115"/>
      <c r="K20" s="115"/>
      <c r="L20" s="115"/>
      <c r="M20" s="5"/>
    </row>
    <row r="21" spans="1:63" x14ac:dyDescent="0.3">
      <c r="A21" s="86" t="s">
        <v>11</v>
      </c>
      <c r="B21" s="70"/>
      <c r="C21" s="70" t="s">
        <v>21</v>
      </c>
      <c r="D21" s="70" t="s">
        <v>45</v>
      </c>
      <c r="E21" s="70" t="s">
        <v>70</v>
      </c>
      <c r="F21" s="71">
        <v>1</v>
      </c>
      <c r="G21" s="165"/>
      <c r="H21" s="71">
        <f>F21*AN21</f>
        <v>0</v>
      </c>
      <c r="I21" s="71">
        <f>F21*AO21</f>
        <v>0</v>
      </c>
      <c r="J21" s="71">
        <f>F21*G21</f>
        <v>0</v>
      </c>
      <c r="K21" s="71">
        <v>0</v>
      </c>
      <c r="L21" s="71">
        <f>F21*K21</f>
        <v>0</v>
      </c>
      <c r="M21" s="72"/>
      <c r="Y21" s="33">
        <f>IF(AP21="5",BI21,0)</f>
        <v>0</v>
      </c>
      <c r="AA21" s="33">
        <f>IF(AP21="1",BG21,0)</f>
        <v>0</v>
      </c>
      <c r="AB21" s="33">
        <f>IF(AP21="1",BH21,0)</f>
        <v>0</v>
      </c>
      <c r="AC21" s="33">
        <f>IF(AP21="7",BG21,0)</f>
        <v>0</v>
      </c>
      <c r="AD21" s="33">
        <f>IF(AP21="7",BH21,0)</f>
        <v>0</v>
      </c>
      <c r="AE21" s="33">
        <f>IF(AP21="2",BG21,0)</f>
        <v>0</v>
      </c>
      <c r="AF21" s="33">
        <f>IF(AP21="2",BH21,0)</f>
        <v>0</v>
      </c>
      <c r="AG21" s="33">
        <f>IF(AP21="0",BI21,0)</f>
        <v>0</v>
      </c>
      <c r="AH21" s="30"/>
      <c r="AI21" s="23">
        <f>IF(AM21=0,J21,0)</f>
        <v>0</v>
      </c>
      <c r="AJ21" s="23">
        <f>IF(AM21=15,J21,0)</f>
        <v>0</v>
      </c>
      <c r="AK21" s="23">
        <f>IF(AM21=21,J21,0)</f>
        <v>0</v>
      </c>
      <c r="AM21" s="33">
        <v>21</v>
      </c>
      <c r="AN21" s="33">
        <f>G21*0</f>
        <v>0</v>
      </c>
      <c r="AO21" s="33">
        <f>G21*(1-0)</f>
        <v>0</v>
      </c>
      <c r="AP21" s="34" t="s">
        <v>7</v>
      </c>
      <c r="AU21" s="33">
        <f>AV21+AW21</f>
        <v>0</v>
      </c>
      <c r="AV21" s="33">
        <f>F21*AN21</f>
        <v>0</v>
      </c>
      <c r="AW21" s="33">
        <f>F21*AO21</f>
        <v>0</v>
      </c>
      <c r="AX21" s="35" t="s">
        <v>100</v>
      </c>
      <c r="AY21" s="35" t="s">
        <v>106</v>
      </c>
      <c r="AZ21" s="30" t="s">
        <v>109</v>
      </c>
      <c r="BB21" s="33">
        <f>AV21+AW21</f>
        <v>0</v>
      </c>
      <c r="BC21" s="33">
        <f>G21/(100-BD21)*100</f>
        <v>0</v>
      </c>
      <c r="BD21" s="33">
        <v>0</v>
      </c>
      <c r="BE21" s="33">
        <f>L21</f>
        <v>0</v>
      </c>
      <c r="BG21" s="23">
        <f>F21*AN21</f>
        <v>0</v>
      </c>
      <c r="BH21" s="23">
        <f>F21*AO21</f>
        <v>0</v>
      </c>
      <c r="BI21" s="23">
        <f>F21*G21</f>
        <v>0</v>
      </c>
      <c r="BJ21" s="23" t="s">
        <v>114</v>
      </c>
      <c r="BK21" s="33" t="s">
        <v>20</v>
      </c>
    </row>
    <row r="22" spans="1:63" ht="12.9" x14ac:dyDescent="0.3">
      <c r="A22" s="106"/>
      <c r="C22" s="16" t="s">
        <v>16</v>
      </c>
      <c r="D22" s="114" t="s">
        <v>46</v>
      </c>
      <c r="E22" s="115"/>
      <c r="F22" s="115"/>
      <c r="G22" s="115"/>
      <c r="H22" s="115"/>
      <c r="I22" s="115"/>
      <c r="J22" s="115"/>
      <c r="K22" s="115"/>
      <c r="L22" s="115"/>
      <c r="M22" s="5"/>
    </row>
    <row r="23" spans="1:63" x14ac:dyDescent="0.3">
      <c r="A23" s="87" t="s">
        <v>12</v>
      </c>
      <c r="B23" s="13"/>
      <c r="C23" s="13" t="s">
        <v>21</v>
      </c>
      <c r="D23" s="13" t="s">
        <v>47</v>
      </c>
      <c r="E23" s="13" t="s">
        <v>70</v>
      </c>
      <c r="F23" s="23">
        <v>1</v>
      </c>
      <c r="G23" s="164"/>
      <c r="H23" s="23">
        <f>F23*AN23</f>
        <v>0</v>
      </c>
      <c r="I23" s="23">
        <f>F23*AO23</f>
        <v>0</v>
      </c>
      <c r="J23" s="23">
        <f>F23*G23</f>
        <v>0</v>
      </c>
      <c r="K23" s="23">
        <v>0</v>
      </c>
      <c r="L23" s="23">
        <f>F23*K23</f>
        <v>0</v>
      </c>
      <c r="M23" s="5"/>
      <c r="Y23" s="33">
        <f>IF(AP23="5",BI23,0)</f>
        <v>0</v>
      </c>
      <c r="AA23" s="33">
        <f>IF(AP23="1",BG23,0)</f>
        <v>0</v>
      </c>
      <c r="AB23" s="33">
        <f>IF(AP23="1",BH23,0)</f>
        <v>0</v>
      </c>
      <c r="AC23" s="33">
        <f>IF(AP23="7",BG23,0)</f>
        <v>0</v>
      </c>
      <c r="AD23" s="33">
        <f>IF(AP23="7",BH23,0)</f>
        <v>0</v>
      </c>
      <c r="AE23" s="33">
        <f>IF(AP23="2",BG23,0)</f>
        <v>0</v>
      </c>
      <c r="AF23" s="33">
        <f>IF(AP23="2",BH23,0)</f>
        <v>0</v>
      </c>
      <c r="AG23" s="33">
        <f>IF(AP23="0",BI23,0)</f>
        <v>0</v>
      </c>
      <c r="AH23" s="30"/>
      <c r="AI23" s="23">
        <f>IF(AM23=0,J23,0)</f>
        <v>0</v>
      </c>
      <c r="AJ23" s="23">
        <f>IF(AM23=15,J23,0)</f>
        <v>0</v>
      </c>
      <c r="AK23" s="23">
        <f>IF(AM23=21,J23,0)</f>
        <v>0</v>
      </c>
      <c r="AM23" s="33">
        <v>21</v>
      </c>
      <c r="AN23" s="33">
        <f>G23*0</f>
        <v>0</v>
      </c>
      <c r="AO23" s="33">
        <f>G23*(1-0)</f>
        <v>0</v>
      </c>
      <c r="AP23" s="34" t="s">
        <v>7</v>
      </c>
      <c r="AU23" s="33">
        <f>AV23+AW23</f>
        <v>0</v>
      </c>
      <c r="AV23" s="33">
        <f>F23*AN23</f>
        <v>0</v>
      </c>
      <c r="AW23" s="33">
        <f>F23*AO23</f>
        <v>0</v>
      </c>
      <c r="AX23" s="35" t="s">
        <v>100</v>
      </c>
      <c r="AY23" s="35" t="s">
        <v>106</v>
      </c>
      <c r="AZ23" s="30" t="s">
        <v>109</v>
      </c>
      <c r="BB23" s="33">
        <f>AV23+AW23</f>
        <v>0</v>
      </c>
      <c r="BC23" s="33">
        <f>G23/(100-BD23)*100</f>
        <v>0</v>
      </c>
      <c r="BD23" s="33">
        <v>0</v>
      </c>
      <c r="BE23" s="33">
        <f>L23</f>
        <v>0</v>
      </c>
      <c r="BG23" s="23">
        <f>F23*AN23</f>
        <v>0</v>
      </c>
      <c r="BH23" s="23">
        <f>F23*AO23</f>
        <v>0</v>
      </c>
      <c r="BI23" s="23">
        <f>F23*G23</f>
        <v>0</v>
      </c>
      <c r="BJ23" s="23" t="s">
        <v>114</v>
      </c>
      <c r="BK23" s="33" t="s">
        <v>20</v>
      </c>
    </row>
    <row r="24" spans="1:63" ht="25.65" customHeight="1" x14ac:dyDescent="0.3">
      <c r="A24" s="106"/>
      <c r="C24" s="16" t="s">
        <v>16</v>
      </c>
      <c r="D24" s="114" t="s">
        <v>48</v>
      </c>
      <c r="E24" s="115"/>
      <c r="F24" s="115"/>
      <c r="G24" s="115"/>
      <c r="H24" s="115"/>
      <c r="I24" s="115"/>
      <c r="J24" s="115"/>
      <c r="K24" s="115"/>
      <c r="L24" s="115"/>
      <c r="M24" s="5"/>
    </row>
    <row r="25" spans="1:63" x14ac:dyDescent="0.3">
      <c r="A25" s="87" t="s">
        <v>13</v>
      </c>
      <c r="B25" s="13"/>
      <c r="C25" s="13" t="s">
        <v>21</v>
      </c>
      <c r="D25" s="13" t="s">
        <v>49</v>
      </c>
      <c r="E25" s="13" t="s">
        <v>70</v>
      </c>
      <c r="F25" s="23">
        <v>1</v>
      </c>
      <c r="G25" s="164"/>
      <c r="H25" s="23">
        <f>F25*AN25</f>
        <v>0</v>
      </c>
      <c r="I25" s="23">
        <f>F25*AO25</f>
        <v>0</v>
      </c>
      <c r="J25" s="23">
        <f>F25*G25</f>
        <v>0</v>
      </c>
      <c r="K25" s="23">
        <v>0</v>
      </c>
      <c r="L25" s="23">
        <f>F25*K25</f>
        <v>0</v>
      </c>
      <c r="M25" s="5"/>
      <c r="Y25" s="33">
        <f>IF(AP25="5",BI25,0)</f>
        <v>0</v>
      </c>
      <c r="AA25" s="33">
        <f>IF(AP25="1",BG25,0)</f>
        <v>0</v>
      </c>
      <c r="AB25" s="33">
        <f>IF(AP25="1",BH25,0)</f>
        <v>0</v>
      </c>
      <c r="AC25" s="33">
        <f>IF(AP25="7",BG25,0)</f>
        <v>0</v>
      </c>
      <c r="AD25" s="33">
        <f>IF(AP25="7",BH25,0)</f>
        <v>0</v>
      </c>
      <c r="AE25" s="33">
        <f>IF(AP25="2",BG25,0)</f>
        <v>0</v>
      </c>
      <c r="AF25" s="33">
        <f>IF(AP25="2",BH25,0)</f>
        <v>0</v>
      </c>
      <c r="AG25" s="33">
        <f>IF(AP25="0",BI25,0)</f>
        <v>0</v>
      </c>
      <c r="AH25" s="30"/>
      <c r="AI25" s="23">
        <f>IF(AM25=0,J25,0)</f>
        <v>0</v>
      </c>
      <c r="AJ25" s="23">
        <f>IF(AM25=15,J25,0)</f>
        <v>0</v>
      </c>
      <c r="AK25" s="23">
        <f>IF(AM25=21,J25,0)</f>
        <v>0</v>
      </c>
      <c r="AM25" s="33">
        <v>21</v>
      </c>
      <c r="AN25" s="33">
        <f>G25*0</f>
        <v>0</v>
      </c>
      <c r="AO25" s="33">
        <f>G25*(1-0)</f>
        <v>0</v>
      </c>
      <c r="AP25" s="34" t="s">
        <v>7</v>
      </c>
      <c r="AU25" s="33">
        <f>AV25+AW25</f>
        <v>0</v>
      </c>
      <c r="AV25" s="33">
        <f>F25*AN25</f>
        <v>0</v>
      </c>
      <c r="AW25" s="33">
        <f>F25*AO25</f>
        <v>0</v>
      </c>
      <c r="AX25" s="35" t="s">
        <v>100</v>
      </c>
      <c r="AY25" s="35" t="s">
        <v>106</v>
      </c>
      <c r="AZ25" s="30" t="s">
        <v>109</v>
      </c>
      <c r="BB25" s="33">
        <f>AV25+AW25</f>
        <v>0</v>
      </c>
      <c r="BC25" s="33">
        <f>G25/(100-BD25)*100</f>
        <v>0</v>
      </c>
      <c r="BD25" s="33">
        <v>0</v>
      </c>
      <c r="BE25" s="33">
        <f>L25</f>
        <v>0</v>
      </c>
      <c r="BG25" s="23">
        <f>F25*AN25</f>
        <v>0</v>
      </c>
      <c r="BH25" s="23">
        <f>F25*AO25</f>
        <v>0</v>
      </c>
      <c r="BI25" s="23">
        <f>F25*G25</f>
        <v>0</v>
      </c>
      <c r="BJ25" s="23" t="s">
        <v>114</v>
      </c>
      <c r="BK25" s="33" t="s">
        <v>20</v>
      </c>
    </row>
    <row r="26" spans="1:63" ht="12.9" x14ac:dyDescent="0.3">
      <c r="A26" s="106"/>
      <c r="C26" s="16" t="s">
        <v>16</v>
      </c>
      <c r="D26" s="114" t="s">
        <v>50</v>
      </c>
      <c r="E26" s="115"/>
      <c r="F26" s="115"/>
      <c r="G26" s="115"/>
      <c r="H26" s="115"/>
      <c r="I26" s="115"/>
      <c r="J26" s="115"/>
      <c r="K26" s="115"/>
      <c r="L26" s="115"/>
      <c r="M26" s="5"/>
    </row>
    <row r="27" spans="1:63" x14ac:dyDescent="0.3">
      <c r="A27" s="6"/>
      <c r="B27" s="14"/>
      <c r="C27" s="14" t="s">
        <v>22</v>
      </c>
      <c r="D27" s="14" t="s">
        <v>51</v>
      </c>
      <c r="E27" s="22" t="s">
        <v>6</v>
      </c>
      <c r="F27" s="22" t="s">
        <v>6</v>
      </c>
      <c r="G27" s="22" t="s">
        <v>6</v>
      </c>
      <c r="H27" s="38">
        <f>SUM(H28:H28)</f>
        <v>0</v>
      </c>
      <c r="I27" s="38">
        <f>SUM(I28:I28)</f>
        <v>0</v>
      </c>
      <c r="J27" s="38">
        <f>SUM(J28:J28)</f>
        <v>0</v>
      </c>
      <c r="K27" s="30"/>
      <c r="L27" s="38">
        <f>SUM(L28:L28)</f>
        <v>0</v>
      </c>
      <c r="M27" s="5"/>
      <c r="AH27" s="30"/>
      <c r="AR27" s="38">
        <f>SUM(AI28:AI28)</f>
        <v>0</v>
      </c>
      <c r="AS27" s="38">
        <f>SUM(AJ28:AJ28)</f>
        <v>0</v>
      </c>
      <c r="AT27" s="38">
        <f>SUM(AK28:AK28)</f>
        <v>0</v>
      </c>
    </row>
    <row r="28" spans="1:63" x14ac:dyDescent="0.3">
      <c r="A28" s="88" t="s">
        <v>14</v>
      </c>
      <c r="B28" s="20"/>
      <c r="C28" s="20" t="s">
        <v>23</v>
      </c>
      <c r="D28" s="93" t="s">
        <v>52</v>
      </c>
      <c r="E28" s="93" t="s">
        <v>70</v>
      </c>
      <c r="F28" s="33">
        <v>1</v>
      </c>
      <c r="G28" s="166"/>
      <c r="H28" s="33">
        <f>F28*AN28</f>
        <v>0</v>
      </c>
      <c r="I28" s="33">
        <f>F28*AO28</f>
        <v>0</v>
      </c>
      <c r="J28" s="33">
        <f>F28*G28</f>
        <v>0</v>
      </c>
      <c r="K28" s="33">
        <v>0</v>
      </c>
      <c r="L28" s="54">
        <f>F28*K28</f>
        <v>0</v>
      </c>
      <c r="M28" s="72"/>
      <c r="Y28" s="33">
        <f>IF(AP28="5",BI28,0)</f>
        <v>0</v>
      </c>
      <c r="AA28" s="33">
        <f>IF(AP28="1",BG28,0)</f>
        <v>0</v>
      </c>
      <c r="AB28" s="33">
        <f>IF(AP28="1",BH28,0)</f>
        <v>0</v>
      </c>
      <c r="AC28" s="33">
        <f>IF(AP28="7",BG28,0)</f>
        <v>0</v>
      </c>
      <c r="AD28" s="33">
        <f>IF(AP28="7",BH28,0)</f>
        <v>0</v>
      </c>
      <c r="AE28" s="33">
        <f>IF(AP28="2",BG28,0)</f>
        <v>0</v>
      </c>
      <c r="AF28" s="33">
        <f>IF(AP28="2",BH28,0)</f>
        <v>0</v>
      </c>
      <c r="AG28" s="33">
        <f>IF(AP28="0",BI28,0)</f>
        <v>0</v>
      </c>
      <c r="AH28" s="30"/>
      <c r="AI28" s="23">
        <f>IF(AM28=0,J28,0)</f>
        <v>0</v>
      </c>
      <c r="AJ28" s="23">
        <f>IF(AM28=15,J28,0)</f>
        <v>0</v>
      </c>
      <c r="AK28" s="23">
        <f>IF(AM28=21,J28,0)</f>
        <v>0</v>
      </c>
      <c r="AM28" s="33">
        <v>21</v>
      </c>
      <c r="AN28" s="33">
        <f>G28*0</f>
        <v>0</v>
      </c>
      <c r="AO28" s="33">
        <f>G28*(1-0)</f>
        <v>0</v>
      </c>
      <c r="AP28" s="34" t="s">
        <v>7</v>
      </c>
      <c r="AU28" s="33">
        <f>AV28+AW28</f>
        <v>0</v>
      </c>
      <c r="AV28" s="33">
        <f>F28*AN28</f>
        <v>0</v>
      </c>
      <c r="AW28" s="33">
        <f>F28*AO28</f>
        <v>0</v>
      </c>
      <c r="AX28" s="35" t="s">
        <v>101</v>
      </c>
      <c r="AY28" s="35" t="s">
        <v>106</v>
      </c>
      <c r="AZ28" s="30" t="s">
        <v>109</v>
      </c>
      <c r="BB28" s="33">
        <f>AV28+AW28</f>
        <v>0</v>
      </c>
      <c r="BC28" s="33">
        <f>G28/(100-BD28)*100</f>
        <v>0</v>
      </c>
      <c r="BD28" s="33">
        <v>0</v>
      </c>
      <c r="BE28" s="33">
        <f>L28</f>
        <v>0</v>
      </c>
      <c r="BG28" s="23">
        <f>F28*AN28</f>
        <v>0</v>
      </c>
      <c r="BH28" s="23">
        <f>F28*AO28</f>
        <v>0</v>
      </c>
      <c r="BI28" s="23">
        <f>F28*G28</f>
        <v>0</v>
      </c>
      <c r="BJ28" s="23" t="s">
        <v>114</v>
      </c>
      <c r="BK28" s="33" t="s">
        <v>22</v>
      </c>
    </row>
    <row r="29" spans="1:63" ht="12.9" x14ac:dyDescent="0.3">
      <c r="A29" s="106"/>
      <c r="C29" s="16" t="s">
        <v>16</v>
      </c>
      <c r="D29" s="114" t="s">
        <v>53</v>
      </c>
      <c r="E29" s="115"/>
      <c r="F29" s="115"/>
      <c r="G29" s="115"/>
      <c r="H29" s="115"/>
      <c r="I29" s="115"/>
      <c r="J29" s="115"/>
      <c r="K29" s="115"/>
      <c r="L29" s="117"/>
      <c r="M29" s="72"/>
    </row>
    <row r="30" spans="1:63" x14ac:dyDescent="0.3">
      <c r="A30" s="6"/>
      <c r="B30" s="14"/>
      <c r="C30" s="14" t="s">
        <v>15</v>
      </c>
      <c r="D30" s="14" t="s">
        <v>54</v>
      </c>
      <c r="E30" s="22" t="s">
        <v>6</v>
      </c>
      <c r="F30" s="22" t="s">
        <v>6</v>
      </c>
      <c r="G30" s="22" t="s">
        <v>6</v>
      </c>
      <c r="H30" s="38">
        <f>SUM(H31:H31)</f>
        <v>0</v>
      </c>
      <c r="I30" s="38">
        <f>SUM(I31:I31)</f>
        <v>0</v>
      </c>
      <c r="J30" s="38">
        <f>SUM(J31:J31)</f>
        <v>0</v>
      </c>
      <c r="K30" s="30"/>
      <c r="L30" s="97">
        <f>SUM(L31:L31)</f>
        <v>2.2000000000000002</v>
      </c>
      <c r="M30" s="72"/>
      <c r="AH30" s="30"/>
      <c r="AR30" s="38" t="e">
        <f>SUM(#REF!)</f>
        <v>#REF!</v>
      </c>
      <c r="AS30" s="38" t="e">
        <f>SUM(#REF!)</f>
        <v>#REF!</v>
      </c>
      <c r="AT30" s="38" t="e">
        <f>SUM(#REF!)</f>
        <v>#REF!</v>
      </c>
    </row>
    <row r="31" spans="1:63" s="80" customFormat="1" x14ac:dyDescent="0.3">
      <c r="A31" s="106">
        <v>9</v>
      </c>
      <c r="C31" s="94" t="s">
        <v>170</v>
      </c>
      <c r="D31" s="94" t="s">
        <v>176</v>
      </c>
      <c r="E31" s="13" t="s">
        <v>71</v>
      </c>
      <c r="F31" s="82">
        <v>20</v>
      </c>
      <c r="G31" s="164"/>
      <c r="H31" s="82">
        <f>F31*AN31</f>
        <v>0</v>
      </c>
      <c r="I31" s="82">
        <f>J31</f>
        <v>0</v>
      </c>
      <c r="J31" s="82">
        <f>F31*G31</f>
        <v>0</v>
      </c>
      <c r="K31" s="82">
        <v>0.11</v>
      </c>
      <c r="L31" s="96">
        <f>F31*K31</f>
        <v>2.2000000000000002</v>
      </c>
      <c r="M31" s="72"/>
    </row>
    <row r="32" spans="1:63" s="80" customFormat="1" ht="12.9" x14ac:dyDescent="0.3">
      <c r="A32" s="106"/>
      <c r="C32" s="81" t="s">
        <v>16</v>
      </c>
      <c r="D32" s="1" t="s">
        <v>184</v>
      </c>
      <c r="E32" s="108"/>
      <c r="F32" s="108"/>
      <c r="G32" s="108"/>
      <c r="H32" s="108"/>
      <c r="I32" s="108"/>
      <c r="J32" s="108"/>
      <c r="K32" s="108"/>
      <c r="L32" s="108"/>
      <c r="M32" s="72"/>
    </row>
    <row r="33" spans="1:63" x14ac:dyDescent="0.3">
      <c r="A33" s="6"/>
      <c r="B33" s="14"/>
      <c r="C33" s="14" t="s">
        <v>25</v>
      </c>
      <c r="D33" s="90" t="s">
        <v>55</v>
      </c>
      <c r="E33" s="22" t="s">
        <v>6</v>
      </c>
      <c r="F33" s="22" t="s">
        <v>6</v>
      </c>
      <c r="G33" s="22" t="s">
        <v>6</v>
      </c>
      <c r="H33" s="38">
        <f>SUM(H34:H39)</f>
        <v>0</v>
      </c>
      <c r="I33" s="38">
        <f>SUM(I34:I39)</f>
        <v>0</v>
      </c>
      <c r="J33" s="38">
        <f>SUM(J34:J39)</f>
        <v>0</v>
      </c>
      <c r="K33" s="30"/>
      <c r="L33" s="38">
        <f>SUM(L34:L39)</f>
        <v>83.830650000000006</v>
      </c>
      <c r="M33" s="5"/>
      <c r="AH33" s="30"/>
      <c r="AR33" s="38">
        <f>SUM(AI34:AI39)</f>
        <v>0</v>
      </c>
      <c r="AS33" s="38">
        <f>SUM(AJ34:AJ39)</f>
        <v>0</v>
      </c>
      <c r="AT33" s="38">
        <f>SUM(AK34:AK39)</f>
        <v>0</v>
      </c>
    </row>
    <row r="34" spans="1:63" x14ac:dyDescent="0.3">
      <c r="A34" s="4" t="s">
        <v>180</v>
      </c>
      <c r="B34" s="13"/>
      <c r="C34" s="13" t="s">
        <v>26</v>
      </c>
      <c r="D34" s="13" t="s">
        <v>56</v>
      </c>
      <c r="E34" s="13" t="s">
        <v>71</v>
      </c>
      <c r="F34" s="82">
        <v>645</v>
      </c>
      <c r="G34" s="164"/>
      <c r="H34" s="82">
        <f>F34*AN34</f>
        <v>0</v>
      </c>
      <c r="I34" s="82">
        <f>F34*AO34</f>
        <v>0</v>
      </c>
      <c r="J34" s="82">
        <f>F34*G34</f>
        <v>0</v>
      </c>
      <c r="K34" s="82">
        <v>3.1E-4</v>
      </c>
      <c r="L34" s="96">
        <f>F34*K34</f>
        <v>0.19994999999999999</v>
      </c>
      <c r="M34" s="72"/>
      <c r="Y34" s="33">
        <f>IF(AP34="5",BI34,0)</f>
        <v>0</v>
      </c>
      <c r="AA34" s="33">
        <f>IF(AP34="1",BG34,0)</f>
        <v>0</v>
      </c>
      <c r="AB34" s="33">
        <f>IF(AP34="1",BH34,0)</f>
        <v>0</v>
      </c>
      <c r="AC34" s="33">
        <f>IF(AP34="7",BG34,0)</f>
        <v>0</v>
      </c>
      <c r="AD34" s="33">
        <f>IF(AP34="7",BH34,0)</f>
        <v>0</v>
      </c>
      <c r="AE34" s="33">
        <f>IF(AP34="2",BG34,0)</f>
        <v>0</v>
      </c>
      <c r="AF34" s="33">
        <f>IF(AP34="2",BH34,0)</f>
        <v>0</v>
      </c>
      <c r="AG34" s="33">
        <f>IF(AP34="0",BI34,0)</f>
        <v>0</v>
      </c>
      <c r="AH34" s="30"/>
      <c r="AI34" s="23">
        <f>IF(AM34=0,J34,0)</f>
        <v>0</v>
      </c>
      <c r="AJ34" s="23">
        <f>IF(AM34=15,J34,0)</f>
        <v>0</v>
      </c>
      <c r="AK34" s="23">
        <f>IF(AM34=21,J34,0)</f>
        <v>0</v>
      </c>
      <c r="AM34" s="33">
        <v>21</v>
      </c>
      <c r="AN34" s="33">
        <f>G34*0.861735602860608</f>
        <v>0</v>
      </c>
      <c r="AO34" s="33">
        <f>G34*(1-0.861735602860608)</f>
        <v>0</v>
      </c>
      <c r="AP34" s="34" t="s">
        <v>7</v>
      </c>
      <c r="AU34" s="33">
        <f>AV34+AW34</f>
        <v>0</v>
      </c>
      <c r="AV34" s="33">
        <f>F34*AN34</f>
        <v>0</v>
      </c>
      <c r="AW34" s="33">
        <f>F34*AO34</f>
        <v>0</v>
      </c>
      <c r="AX34" s="35" t="s">
        <v>102</v>
      </c>
      <c r="AY34" s="35" t="s">
        <v>107</v>
      </c>
      <c r="AZ34" s="30" t="s">
        <v>109</v>
      </c>
      <c r="BB34" s="33">
        <f>AV34+AW34</f>
        <v>0</v>
      </c>
      <c r="BC34" s="33">
        <f>G34/(100-BD34)*100</f>
        <v>0</v>
      </c>
      <c r="BD34" s="33">
        <v>0</v>
      </c>
      <c r="BE34" s="33">
        <f>L34</f>
        <v>0.19994999999999999</v>
      </c>
      <c r="BG34" s="23">
        <f>F34*AN34</f>
        <v>0</v>
      </c>
      <c r="BH34" s="23">
        <f>F34*AO34</f>
        <v>0</v>
      </c>
      <c r="BI34" s="23">
        <f>F34*G34</f>
        <v>0</v>
      </c>
      <c r="BJ34" s="23" t="s">
        <v>114</v>
      </c>
      <c r="BK34" s="33">
        <v>57</v>
      </c>
    </row>
    <row r="35" spans="1:63" ht="12.9" x14ac:dyDescent="0.3">
      <c r="A35" s="106"/>
      <c r="C35" s="17" t="s">
        <v>24</v>
      </c>
      <c r="D35" s="1" t="s">
        <v>57</v>
      </c>
      <c r="E35" s="108"/>
      <c r="F35" s="108"/>
      <c r="G35" s="108"/>
      <c r="H35" s="108"/>
      <c r="I35" s="108"/>
      <c r="J35" s="108"/>
      <c r="K35" s="108"/>
      <c r="L35" s="108"/>
      <c r="M35" s="72"/>
    </row>
    <row r="36" spans="1:63" s="80" customFormat="1" ht="12.9" x14ac:dyDescent="0.3">
      <c r="A36" s="106"/>
      <c r="C36" s="17"/>
      <c r="D36" s="93"/>
      <c r="E36" s="103"/>
      <c r="F36" s="103"/>
      <c r="G36" s="103"/>
      <c r="H36" s="103"/>
      <c r="I36" s="103"/>
      <c r="J36" s="103"/>
      <c r="K36" s="103"/>
      <c r="L36" s="103"/>
      <c r="M36" s="72"/>
    </row>
    <row r="37" spans="1:63" s="80" customFormat="1" x14ac:dyDescent="0.3">
      <c r="A37" s="4" t="s">
        <v>15</v>
      </c>
      <c r="B37" s="13"/>
      <c r="C37" s="13" t="s">
        <v>171</v>
      </c>
      <c r="D37" s="13" t="s">
        <v>177</v>
      </c>
      <c r="E37" s="13" t="s">
        <v>71</v>
      </c>
      <c r="F37" s="82">
        <v>645</v>
      </c>
      <c r="G37" s="164"/>
      <c r="H37" s="82">
        <f>F37*AN37</f>
        <v>0</v>
      </c>
      <c r="I37" s="82">
        <f>F37*AO37</f>
        <v>0</v>
      </c>
      <c r="J37" s="82">
        <f>F37*G37</f>
        <v>0</v>
      </c>
      <c r="K37" s="82">
        <v>0.12966</v>
      </c>
      <c r="L37" s="96">
        <f>F37*K37</f>
        <v>83.630700000000004</v>
      </c>
      <c r="M37" s="72"/>
      <c r="Y37" s="33">
        <f>IF(AP37="5",BI37,0)</f>
        <v>0</v>
      </c>
      <c r="AA37" s="33">
        <f>IF(AP37="1",BG37,0)</f>
        <v>0</v>
      </c>
      <c r="AB37" s="33">
        <f>IF(AP37="1",BH37,0)</f>
        <v>0</v>
      </c>
      <c r="AC37" s="33">
        <f>IF(AP37="7",BG37,0)</f>
        <v>0</v>
      </c>
      <c r="AD37" s="33">
        <f>IF(AP37="7",BH37,0)</f>
        <v>0</v>
      </c>
      <c r="AE37" s="33">
        <f>IF(AP37="2",BG37,0)</f>
        <v>0</v>
      </c>
      <c r="AF37" s="33">
        <f>IF(AP37="2",BH37,0)</f>
        <v>0</v>
      </c>
      <c r="AG37" s="33">
        <f>IF(AP37="0",BI37,0)</f>
        <v>0</v>
      </c>
      <c r="AH37" s="30"/>
      <c r="AI37" s="82">
        <f>IF(AM37=0,J37,0)</f>
        <v>0</v>
      </c>
      <c r="AJ37" s="82">
        <f>IF(AM37=15,J37,0)</f>
        <v>0</v>
      </c>
      <c r="AK37" s="82">
        <f>IF(AM37=21,J37,0)</f>
        <v>0</v>
      </c>
      <c r="AM37" s="33">
        <v>21</v>
      </c>
      <c r="AN37" s="33">
        <f>G37*0.638098676293622</f>
        <v>0</v>
      </c>
      <c r="AO37" s="33">
        <f>G37*(1-0.638098676293622)</f>
        <v>0</v>
      </c>
      <c r="AP37" s="34" t="s">
        <v>7</v>
      </c>
      <c r="AU37" s="33">
        <f>AV37+AW37</f>
        <v>0</v>
      </c>
      <c r="AV37" s="33">
        <f>F37*AN37</f>
        <v>0</v>
      </c>
      <c r="AW37" s="33">
        <f>F37*AO37</f>
        <v>0</v>
      </c>
      <c r="AX37" s="35" t="s">
        <v>102</v>
      </c>
      <c r="AY37" s="35" t="s">
        <v>107</v>
      </c>
      <c r="AZ37" s="30" t="s">
        <v>109</v>
      </c>
      <c r="BB37" s="33">
        <f>AV37+AW37</f>
        <v>0</v>
      </c>
      <c r="BC37" s="33">
        <f>G37/(100-BD37)*100</f>
        <v>0</v>
      </c>
      <c r="BD37" s="33">
        <v>0</v>
      </c>
      <c r="BE37" s="33">
        <f>L37</f>
        <v>83.630700000000004</v>
      </c>
      <c r="BG37" s="82">
        <f>F37*AN37</f>
        <v>0</v>
      </c>
      <c r="BH37" s="82">
        <f>F37*AO37</f>
        <v>0</v>
      </c>
      <c r="BI37" s="82">
        <f>F37*G37</f>
        <v>0</v>
      </c>
      <c r="BJ37" s="82" t="s">
        <v>114</v>
      </c>
      <c r="BK37" s="33">
        <v>57</v>
      </c>
    </row>
    <row r="38" spans="1:63" s="80" customFormat="1" x14ac:dyDescent="0.3">
      <c r="A38" s="87"/>
      <c r="B38" s="13"/>
      <c r="C38" s="95"/>
      <c r="D38" s="99"/>
      <c r="E38" s="13"/>
      <c r="F38" s="82"/>
      <c r="G38" s="82"/>
      <c r="H38" s="82"/>
      <c r="I38" s="82"/>
      <c r="J38" s="82"/>
      <c r="K38" s="82"/>
      <c r="L38" s="96"/>
      <c r="M38" s="72"/>
      <c r="Y38" s="33"/>
      <c r="AA38" s="33"/>
      <c r="AB38" s="33"/>
      <c r="AC38" s="33"/>
      <c r="AD38" s="33"/>
      <c r="AE38" s="33"/>
      <c r="AF38" s="33"/>
      <c r="AG38" s="33"/>
      <c r="AH38" s="30"/>
      <c r="AI38" s="82"/>
      <c r="AJ38" s="82"/>
      <c r="AK38" s="82"/>
      <c r="AM38" s="33"/>
      <c r="AN38" s="33"/>
      <c r="AO38" s="33"/>
      <c r="AP38" s="34"/>
      <c r="AU38" s="33"/>
      <c r="AV38" s="33"/>
      <c r="AW38" s="33"/>
      <c r="AX38" s="35"/>
      <c r="AY38" s="35"/>
      <c r="AZ38" s="30"/>
      <c r="BB38" s="33"/>
      <c r="BC38" s="33"/>
      <c r="BD38" s="33"/>
      <c r="BE38" s="33"/>
      <c r="BG38" s="82"/>
      <c r="BH38" s="82"/>
      <c r="BI38" s="82"/>
      <c r="BJ38" s="82"/>
      <c r="BK38" s="33"/>
    </row>
    <row r="39" spans="1:63" s="80" customFormat="1" ht="12.9" x14ac:dyDescent="0.3">
      <c r="A39" s="105"/>
      <c r="C39" s="17"/>
      <c r="D39" s="92"/>
      <c r="E39" s="104"/>
      <c r="F39" s="104"/>
      <c r="G39" s="104"/>
      <c r="H39" s="104"/>
      <c r="I39" s="104"/>
      <c r="J39" s="104"/>
      <c r="K39" s="104"/>
      <c r="L39" s="98"/>
      <c r="M39" s="72"/>
    </row>
    <row r="40" spans="1:63" ht="12.9" x14ac:dyDescent="0.3">
      <c r="A40" s="106"/>
      <c r="C40" s="17"/>
      <c r="D40" s="78"/>
      <c r="E40" s="79"/>
      <c r="F40" s="79"/>
      <c r="G40" s="79"/>
      <c r="H40" s="79"/>
      <c r="I40" s="79"/>
      <c r="J40" s="79"/>
      <c r="K40" s="79"/>
      <c r="L40" s="79"/>
      <c r="M40" s="5"/>
    </row>
    <row r="41" spans="1:63" x14ac:dyDescent="0.3">
      <c r="A41" s="6"/>
      <c r="B41" s="14"/>
      <c r="C41" s="14" t="s">
        <v>27</v>
      </c>
      <c r="D41" s="14" t="s">
        <v>58</v>
      </c>
      <c r="E41" s="22" t="s">
        <v>6</v>
      </c>
      <c r="F41" s="22" t="s">
        <v>6</v>
      </c>
      <c r="G41" s="22" t="s">
        <v>6</v>
      </c>
      <c r="H41" s="38">
        <f>SUM(H42:H45)</f>
        <v>0</v>
      </c>
      <c r="I41" s="38">
        <f>SUM(I42:I45)</f>
        <v>0</v>
      </c>
      <c r="J41" s="38">
        <f>SUM(J42:J45)</f>
        <v>0</v>
      </c>
      <c r="K41" s="30"/>
      <c r="L41" s="38">
        <f>SUM(L42:L45)</f>
        <v>2E-3</v>
      </c>
      <c r="M41" s="5"/>
      <c r="AH41" s="30"/>
      <c r="AR41" s="38">
        <f>SUM(AI42:AI45)</f>
        <v>0</v>
      </c>
      <c r="AS41" s="38">
        <f>SUM(AJ42:AJ45)</f>
        <v>0</v>
      </c>
      <c r="AT41" s="38">
        <f>SUM(AK42:AK45)</f>
        <v>0</v>
      </c>
    </row>
    <row r="42" spans="1:63" x14ac:dyDescent="0.3">
      <c r="A42" s="4" t="s">
        <v>173</v>
      </c>
      <c r="B42" s="13"/>
      <c r="C42" s="13" t="s">
        <v>28</v>
      </c>
      <c r="D42" s="13" t="s">
        <v>59</v>
      </c>
      <c r="E42" s="13" t="s">
        <v>72</v>
      </c>
      <c r="F42" s="82">
        <v>20</v>
      </c>
      <c r="G42" s="164"/>
      <c r="H42" s="82">
        <f>F42*AN42</f>
        <v>0</v>
      </c>
      <c r="I42" s="82">
        <f>F42*AO42</f>
        <v>0</v>
      </c>
      <c r="J42" s="82">
        <f>F42*G42</f>
        <v>0</v>
      </c>
      <c r="K42" s="82">
        <v>1E-4</v>
      </c>
      <c r="L42" s="96">
        <f>F42*K42</f>
        <v>2E-3</v>
      </c>
      <c r="M42" s="72"/>
      <c r="Y42" s="33">
        <f>IF(AP42="5",BI42,0)</f>
        <v>0</v>
      </c>
      <c r="AA42" s="33">
        <f>IF(AP42="1",BG42,0)</f>
        <v>0</v>
      </c>
      <c r="AB42" s="33">
        <f>IF(AP42="1",BH42,0)</f>
        <v>0</v>
      </c>
      <c r="AC42" s="33">
        <f>IF(AP42="7",BG42,0)</f>
        <v>0</v>
      </c>
      <c r="AD42" s="33">
        <f>IF(AP42="7",BH42,0)</f>
        <v>0</v>
      </c>
      <c r="AE42" s="33">
        <f>IF(AP42="2",BG42,0)</f>
        <v>0</v>
      </c>
      <c r="AF42" s="33">
        <f>IF(AP42="2",BH42,0)</f>
        <v>0</v>
      </c>
      <c r="AG42" s="33">
        <f>IF(AP42="0",BI42,0)</f>
        <v>0</v>
      </c>
      <c r="AH42" s="30"/>
      <c r="AI42" s="23">
        <f>IF(AM42=0,J42,0)</f>
        <v>0</v>
      </c>
      <c r="AJ42" s="23">
        <f>IF(AM42=15,J42,0)</f>
        <v>0</v>
      </c>
      <c r="AK42" s="23">
        <f>IF(AM42=21,J42,0)</f>
        <v>0</v>
      </c>
      <c r="AM42" s="33">
        <v>21</v>
      </c>
      <c r="AN42" s="33">
        <f>G42*0.0923427957855178</f>
        <v>0</v>
      </c>
      <c r="AO42" s="33">
        <f>G42*(1-0.0923427957855178)</f>
        <v>0</v>
      </c>
      <c r="AP42" s="34" t="s">
        <v>7</v>
      </c>
      <c r="AU42" s="33">
        <f>AV42+AW42</f>
        <v>0</v>
      </c>
      <c r="AV42" s="33">
        <f>F42*AN42</f>
        <v>0</v>
      </c>
      <c r="AW42" s="33">
        <f>F42*AO42</f>
        <v>0</v>
      </c>
      <c r="AX42" s="35" t="s">
        <v>103</v>
      </c>
      <c r="AY42" s="35" t="s">
        <v>108</v>
      </c>
      <c r="AZ42" s="30" t="s">
        <v>109</v>
      </c>
      <c r="BB42" s="33">
        <f>AV42+AW42</f>
        <v>0</v>
      </c>
      <c r="BC42" s="33">
        <f>G42/(100-BD42)*100</f>
        <v>0</v>
      </c>
      <c r="BD42" s="33">
        <v>0</v>
      </c>
      <c r="BE42" s="33">
        <f>L42</f>
        <v>2E-3</v>
      </c>
      <c r="BG42" s="23">
        <f>F42*AN42</f>
        <v>0</v>
      </c>
      <c r="BH42" s="23">
        <f>F42*AO42</f>
        <v>0</v>
      </c>
      <c r="BI42" s="23">
        <f>F42*G42</f>
        <v>0</v>
      </c>
      <c r="BJ42" s="23" t="s">
        <v>114</v>
      </c>
      <c r="BK42" s="33">
        <v>91</v>
      </c>
    </row>
    <row r="43" spans="1:63" ht="12.9" x14ac:dyDescent="0.3">
      <c r="A43" s="106"/>
      <c r="C43" s="17" t="s">
        <v>24</v>
      </c>
      <c r="D43" s="113" t="s">
        <v>169</v>
      </c>
      <c r="E43" s="108"/>
      <c r="F43" s="108"/>
      <c r="G43" s="108"/>
      <c r="H43" s="108"/>
      <c r="I43" s="108"/>
      <c r="J43" s="108"/>
      <c r="K43" s="108"/>
      <c r="L43" s="108"/>
      <c r="M43" s="72"/>
    </row>
    <row r="44" spans="1:63" ht="12.9" x14ac:dyDescent="0.3">
      <c r="A44" s="106"/>
      <c r="D44" s="19"/>
      <c r="F44" s="24"/>
      <c r="M44" s="5"/>
    </row>
    <row r="45" spans="1:63" ht="12.9" x14ac:dyDescent="0.3">
      <c r="A45" s="106"/>
      <c r="C45" s="16" t="s">
        <v>16</v>
      </c>
      <c r="D45" s="114" t="s">
        <v>178</v>
      </c>
      <c r="E45" s="115"/>
      <c r="F45" s="115"/>
      <c r="G45" s="115"/>
      <c r="H45" s="115"/>
      <c r="I45" s="115"/>
      <c r="J45" s="115"/>
      <c r="K45" s="115"/>
      <c r="L45" s="115"/>
      <c r="M45" s="5"/>
    </row>
    <row r="46" spans="1:63" x14ac:dyDescent="0.3">
      <c r="A46" s="6"/>
      <c r="B46" s="14"/>
      <c r="C46" s="14" t="s">
        <v>29</v>
      </c>
      <c r="D46" s="14" t="s">
        <v>60</v>
      </c>
      <c r="E46" s="22" t="s">
        <v>6</v>
      </c>
      <c r="F46" s="22" t="s">
        <v>6</v>
      </c>
      <c r="G46" s="22" t="s">
        <v>6</v>
      </c>
      <c r="H46" s="38">
        <f>SUM(H47:H47)</f>
        <v>0</v>
      </c>
      <c r="I46" s="38">
        <f>SUM(I47:I47)</f>
        <v>0</v>
      </c>
      <c r="J46" s="38">
        <f>SUM(J47:J47)</f>
        <v>0</v>
      </c>
      <c r="K46" s="30"/>
      <c r="L46" s="38">
        <f>SUM(L47:L47)</f>
        <v>0</v>
      </c>
      <c r="M46" s="5"/>
      <c r="AH46" s="30"/>
      <c r="AR46" s="38">
        <f>SUM(AI47:AI47)</f>
        <v>0</v>
      </c>
      <c r="AS46" s="38">
        <f>SUM(AJ47:AJ47)</f>
        <v>0</v>
      </c>
      <c r="AT46" s="38">
        <f>SUM(AK47:AK47)</f>
        <v>0</v>
      </c>
    </row>
    <row r="47" spans="1:63" x14ac:dyDescent="0.3">
      <c r="A47" s="73" t="s">
        <v>181</v>
      </c>
      <c r="B47" s="73"/>
      <c r="C47" s="73" t="s">
        <v>30</v>
      </c>
      <c r="D47" s="73" t="s">
        <v>61</v>
      </c>
      <c r="E47" s="73" t="s">
        <v>73</v>
      </c>
      <c r="F47" s="76">
        <f>L33</f>
        <v>83.830650000000006</v>
      </c>
      <c r="G47" s="167"/>
      <c r="H47" s="76">
        <f>F47*AN47</f>
        <v>0</v>
      </c>
      <c r="I47" s="76">
        <f>F47*AO47</f>
        <v>0</v>
      </c>
      <c r="J47" s="76">
        <f>F47*G47</f>
        <v>0</v>
      </c>
      <c r="K47" s="76">
        <v>0</v>
      </c>
      <c r="L47" s="76">
        <f>F47*K47</f>
        <v>0</v>
      </c>
      <c r="M47" s="72"/>
      <c r="Y47" s="33">
        <f>IF(AP47="5",BI47,0)</f>
        <v>0</v>
      </c>
      <c r="AA47" s="33">
        <f>IF(AP47="1",BG47,0)</f>
        <v>0</v>
      </c>
      <c r="AB47" s="33">
        <f>IF(AP47="1",BH47,0)</f>
        <v>0</v>
      </c>
      <c r="AC47" s="33">
        <f>IF(AP47="7",BG47,0)</f>
        <v>0</v>
      </c>
      <c r="AD47" s="33">
        <f>IF(AP47="7",BH47,0)</f>
        <v>0</v>
      </c>
      <c r="AE47" s="33">
        <f>IF(AP47="2",BG47,0)</f>
        <v>0</v>
      </c>
      <c r="AF47" s="33">
        <f>IF(AP47="2",BH47,0)</f>
        <v>0</v>
      </c>
      <c r="AG47" s="33">
        <f>IF(AP47="0",BI47,0)</f>
        <v>0</v>
      </c>
      <c r="AH47" s="30"/>
      <c r="AI47" s="23">
        <f>IF(AM47=0,J47,0)</f>
        <v>0</v>
      </c>
      <c r="AJ47" s="23">
        <f>IF(AM47=15,J47,0)</f>
        <v>0</v>
      </c>
      <c r="AK47" s="23">
        <f>IF(AM47=21,J47,0)</f>
        <v>0</v>
      </c>
      <c r="AM47" s="33">
        <v>21</v>
      </c>
      <c r="AN47" s="33">
        <f>G47*0</f>
        <v>0</v>
      </c>
      <c r="AO47" s="33">
        <f>G47*(1-0)</f>
        <v>0</v>
      </c>
      <c r="AP47" s="34" t="s">
        <v>11</v>
      </c>
      <c r="AU47" s="33">
        <f>AV47+AW47</f>
        <v>0</v>
      </c>
      <c r="AV47" s="33">
        <f>F47*AN47</f>
        <v>0</v>
      </c>
      <c r="AW47" s="33">
        <f>F47*AO47</f>
        <v>0</v>
      </c>
      <c r="AX47" s="35" t="s">
        <v>104</v>
      </c>
      <c r="AY47" s="35" t="s">
        <v>108</v>
      </c>
      <c r="AZ47" s="30" t="s">
        <v>109</v>
      </c>
      <c r="BB47" s="33">
        <f>AV47+AW47</f>
        <v>0</v>
      </c>
      <c r="BC47" s="33">
        <f>G47/(100-BD47)*100</f>
        <v>0</v>
      </c>
      <c r="BD47" s="33">
        <v>0</v>
      </c>
      <c r="BE47" s="33">
        <f>L47</f>
        <v>0</v>
      </c>
      <c r="BG47" s="23">
        <f>F47*AN47</f>
        <v>0</v>
      </c>
      <c r="BH47" s="23">
        <f>F47*AO47</f>
        <v>0</v>
      </c>
      <c r="BI47" s="23">
        <f>F47*G47</f>
        <v>0</v>
      </c>
      <c r="BJ47" s="23" t="s">
        <v>114</v>
      </c>
      <c r="BK47" s="33" t="s">
        <v>29</v>
      </c>
    </row>
    <row r="48" spans="1:63" ht="12.9" x14ac:dyDescent="0.3">
      <c r="A48" s="107"/>
      <c r="B48" s="74"/>
      <c r="C48" s="74"/>
      <c r="D48" s="75"/>
      <c r="E48" s="74"/>
      <c r="F48" s="77"/>
      <c r="G48" s="74"/>
      <c r="H48" s="74"/>
      <c r="I48" s="74"/>
      <c r="J48" s="74"/>
      <c r="K48" s="74"/>
      <c r="L48" s="74"/>
      <c r="M48" s="72"/>
    </row>
    <row r="49" spans="1:63" x14ac:dyDescent="0.3">
      <c r="A49" s="6"/>
      <c r="B49" s="14"/>
      <c r="C49" s="14" t="s">
        <v>31</v>
      </c>
      <c r="D49" s="14" t="s">
        <v>62</v>
      </c>
      <c r="E49" s="22" t="s">
        <v>6</v>
      </c>
      <c r="F49" s="22" t="s">
        <v>6</v>
      </c>
      <c r="G49" s="22" t="s">
        <v>6</v>
      </c>
      <c r="H49" s="38">
        <f>SUM(H50:H52)</f>
        <v>0</v>
      </c>
      <c r="I49" s="38">
        <f>SUM(I50:I52)</f>
        <v>0</v>
      </c>
      <c r="J49" s="38">
        <f>SUM(J50:J52)</f>
        <v>0</v>
      </c>
      <c r="K49" s="30"/>
      <c r="L49" s="38">
        <f>SUM(L50:L52)</f>
        <v>0</v>
      </c>
      <c r="M49" s="5"/>
      <c r="AH49" s="30"/>
      <c r="AR49" s="38">
        <f>SUM(AI50:AI52)</f>
        <v>0</v>
      </c>
      <c r="AS49" s="38">
        <f>SUM(AJ50:AJ52)</f>
        <v>0</v>
      </c>
      <c r="AT49" s="38">
        <f>SUM(AK50:AK52)</f>
        <v>0</v>
      </c>
    </row>
    <row r="50" spans="1:63" x14ac:dyDescent="0.3">
      <c r="A50" s="4" t="s">
        <v>182</v>
      </c>
      <c r="B50" s="13"/>
      <c r="C50" s="13" t="s">
        <v>32</v>
      </c>
      <c r="D50" s="13" t="s">
        <v>63</v>
      </c>
      <c r="E50" s="13" t="s">
        <v>73</v>
      </c>
      <c r="F50" s="23">
        <f>L30</f>
        <v>2.2000000000000002</v>
      </c>
      <c r="G50" s="164"/>
      <c r="H50" s="23">
        <f>F50*AN50</f>
        <v>0</v>
      </c>
      <c r="I50" s="23">
        <f>F50*AO50</f>
        <v>0</v>
      </c>
      <c r="J50" s="23">
        <f>F50*G50</f>
        <v>0</v>
      </c>
      <c r="K50" s="23">
        <v>0</v>
      </c>
      <c r="L50" s="23">
        <f>F50*K50</f>
        <v>0</v>
      </c>
      <c r="M50" s="5"/>
      <c r="Y50" s="33">
        <f>IF(AP50="5",BI50,0)</f>
        <v>0</v>
      </c>
      <c r="AA50" s="33">
        <f>IF(AP50="1",BG50,0)</f>
        <v>0</v>
      </c>
      <c r="AB50" s="33">
        <f>IF(AP50="1",BH50,0)</f>
        <v>0</v>
      </c>
      <c r="AC50" s="33">
        <f>IF(AP50="7",BG50,0)</f>
        <v>0</v>
      </c>
      <c r="AD50" s="33">
        <f>IF(AP50="7",BH50,0)</f>
        <v>0</v>
      </c>
      <c r="AE50" s="33">
        <f>IF(AP50="2",BG50,0)</f>
        <v>0</v>
      </c>
      <c r="AF50" s="33">
        <f>IF(AP50="2",BH50,0)</f>
        <v>0</v>
      </c>
      <c r="AG50" s="33">
        <f>IF(AP50="0",BI50,0)</f>
        <v>0</v>
      </c>
      <c r="AH50" s="30"/>
      <c r="AI50" s="23">
        <f>IF(AM50=0,J50,0)</f>
        <v>0</v>
      </c>
      <c r="AJ50" s="23">
        <f>IF(AM50=15,J50,0)</f>
        <v>0</v>
      </c>
      <c r="AK50" s="23">
        <f>IF(AM50=21,J50,0)</f>
        <v>0</v>
      </c>
      <c r="AM50" s="33">
        <v>21</v>
      </c>
      <c r="AN50" s="33">
        <f>G50*0</f>
        <v>0</v>
      </c>
      <c r="AO50" s="33">
        <f>G50*(1-0)</f>
        <v>0</v>
      </c>
      <c r="AP50" s="34" t="s">
        <v>11</v>
      </c>
      <c r="AU50" s="33">
        <f>AV50+AW50</f>
        <v>0</v>
      </c>
      <c r="AV50" s="33">
        <f>F50*AN50</f>
        <v>0</v>
      </c>
      <c r="AW50" s="33">
        <f>F50*AO50</f>
        <v>0</v>
      </c>
      <c r="AX50" s="35" t="s">
        <v>105</v>
      </c>
      <c r="AY50" s="35" t="s">
        <v>108</v>
      </c>
      <c r="AZ50" s="30" t="s">
        <v>109</v>
      </c>
      <c r="BB50" s="33">
        <f>AV50+AW50</f>
        <v>0</v>
      </c>
      <c r="BC50" s="33">
        <f>G50/(100-BD50)*100</f>
        <v>0</v>
      </c>
      <c r="BD50" s="33">
        <v>0</v>
      </c>
      <c r="BE50" s="33">
        <f>L50</f>
        <v>0</v>
      </c>
      <c r="BG50" s="23">
        <f>F50*AN50</f>
        <v>0</v>
      </c>
      <c r="BH50" s="23">
        <f>F50*AO50</f>
        <v>0</v>
      </c>
      <c r="BI50" s="23">
        <f>F50*G50</f>
        <v>0</v>
      </c>
      <c r="BJ50" s="23" t="s">
        <v>114</v>
      </c>
      <c r="BK50" s="33" t="s">
        <v>31</v>
      </c>
    </row>
    <row r="51" spans="1:63" x14ac:dyDescent="0.3">
      <c r="A51" s="4" t="s">
        <v>183</v>
      </c>
      <c r="B51" s="13"/>
      <c r="C51" s="13" t="s">
        <v>33</v>
      </c>
      <c r="D51" s="13" t="s">
        <v>64</v>
      </c>
      <c r="E51" s="13" t="s">
        <v>73</v>
      </c>
      <c r="F51" s="23">
        <f>F50*10</f>
        <v>22</v>
      </c>
      <c r="G51" s="164"/>
      <c r="H51" s="23">
        <f>F51*AN51</f>
        <v>0</v>
      </c>
      <c r="I51" s="23">
        <f>F51*AO51</f>
        <v>0</v>
      </c>
      <c r="J51" s="23">
        <f>F51*G51</f>
        <v>0</v>
      </c>
      <c r="K51" s="23">
        <v>0</v>
      </c>
      <c r="L51" s="23">
        <f>F51*K51</f>
        <v>0</v>
      </c>
      <c r="M51" s="5"/>
      <c r="Y51" s="33">
        <f>IF(AP51="5",BI51,0)</f>
        <v>0</v>
      </c>
      <c r="AA51" s="33">
        <f>IF(AP51="1",BG51,0)</f>
        <v>0</v>
      </c>
      <c r="AB51" s="33">
        <f>IF(AP51="1",BH51,0)</f>
        <v>0</v>
      </c>
      <c r="AC51" s="33">
        <f>IF(AP51="7",BG51,0)</f>
        <v>0</v>
      </c>
      <c r="AD51" s="33">
        <f>IF(AP51="7",BH51,0)</f>
        <v>0</v>
      </c>
      <c r="AE51" s="33">
        <f>IF(AP51="2",BG51,0)</f>
        <v>0</v>
      </c>
      <c r="AF51" s="33">
        <f>IF(AP51="2",BH51,0)</f>
        <v>0</v>
      </c>
      <c r="AG51" s="33">
        <f>IF(AP51="0",BI51,0)</f>
        <v>0</v>
      </c>
      <c r="AH51" s="30"/>
      <c r="AI51" s="23">
        <f>IF(AM51=0,J51,0)</f>
        <v>0</v>
      </c>
      <c r="AJ51" s="23">
        <f>IF(AM51=15,J51,0)</f>
        <v>0</v>
      </c>
      <c r="AK51" s="23">
        <f>IF(AM51=21,J51,0)</f>
        <v>0</v>
      </c>
      <c r="AM51" s="33">
        <v>21</v>
      </c>
      <c r="AN51" s="33">
        <f>G51*0</f>
        <v>0</v>
      </c>
      <c r="AO51" s="33">
        <f>G51*(1-0)</f>
        <v>0</v>
      </c>
      <c r="AP51" s="34" t="s">
        <v>11</v>
      </c>
      <c r="AU51" s="33">
        <f>AV51+AW51</f>
        <v>0</v>
      </c>
      <c r="AV51" s="33">
        <f>F51*AN51</f>
        <v>0</v>
      </c>
      <c r="AW51" s="33">
        <f>F51*AO51</f>
        <v>0</v>
      </c>
      <c r="AX51" s="35" t="s">
        <v>105</v>
      </c>
      <c r="AY51" s="35" t="s">
        <v>108</v>
      </c>
      <c r="AZ51" s="30" t="s">
        <v>109</v>
      </c>
      <c r="BB51" s="33">
        <f>AV51+AW51</f>
        <v>0</v>
      </c>
      <c r="BC51" s="33">
        <f>G51/(100-BD51)*100</f>
        <v>0</v>
      </c>
      <c r="BD51" s="33">
        <v>0</v>
      </c>
      <c r="BE51" s="33">
        <f>L51</f>
        <v>0</v>
      </c>
      <c r="BG51" s="23">
        <f>F51*AN51</f>
        <v>0</v>
      </c>
      <c r="BH51" s="23">
        <f>F51*AO51</f>
        <v>0</v>
      </c>
      <c r="BI51" s="23">
        <f>F51*G51</f>
        <v>0</v>
      </c>
      <c r="BJ51" s="23" t="s">
        <v>114</v>
      </c>
      <c r="BK51" s="33" t="s">
        <v>31</v>
      </c>
    </row>
    <row r="52" spans="1:63" ht="12.9" x14ac:dyDescent="0.3">
      <c r="A52" s="5"/>
      <c r="D52" s="116" t="s">
        <v>179</v>
      </c>
      <c r="E52" s="116"/>
      <c r="F52" s="116"/>
      <c r="M52" s="5"/>
    </row>
    <row r="53" spans="1:63" x14ac:dyDescent="0.3">
      <c r="A53" s="8"/>
      <c r="B53" s="8"/>
      <c r="C53" s="8"/>
      <c r="D53" s="8"/>
      <c r="E53" s="8"/>
      <c r="F53" s="8"/>
      <c r="G53" s="8"/>
      <c r="H53" s="109" t="s">
        <v>83</v>
      </c>
      <c r="I53" s="110"/>
      <c r="J53" s="39">
        <f>ROUND(J12+J27+J30+J33+J41+J46+J49,0)</f>
        <v>0</v>
      </c>
      <c r="K53" s="8"/>
      <c r="L53" s="8"/>
    </row>
    <row r="54" spans="1:63" ht="11.25" customHeight="1" x14ac:dyDescent="0.3">
      <c r="A54" s="9" t="s">
        <v>16</v>
      </c>
    </row>
    <row r="55" spans="1:63" x14ac:dyDescent="0.3">
      <c r="A55" s="111" t="s">
        <v>17</v>
      </c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</row>
  </sheetData>
  <sheetProtection algorithmName="SHA-512" hashValue="Dwwn0zOTGYM7l6bXit5bWTzVgWFxIwKZwXk2uCMoPw3sPHL7h8cCdjGr4p5aiLDexL3+N4sPcfcKCVZF7sQBRw==" saltValue="Ja/NiZjwVeLiyb7hEBK3dA==" spinCount="100000" sheet="1" objects="1" scenarios="1"/>
  <mergeCells count="42">
    <mergeCell ref="A1:L1"/>
    <mergeCell ref="A2:C3"/>
    <mergeCell ref="D2:D3"/>
    <mergeCell ref="E2:F3"/>
    <mergeCell ref="G2:G3"/>
    <mergeCell ref="H2:H3"/>
    <mergeCell ref="I2:L3"/>
    <mergeCell ref="I6:L7"/>
    <mergeCell ref="A4:C5"/>
    <mergeCell ref="D4:D5"/>
    <mergeCell ref="E4:F5"/>
    <mergeCell ref="G4:G5"/>
    <mergeCell ref="H4:H5"/>
    <mergeCell ref="I4:L5"/>
    <mergeCell ref="A6:C7"/>
    <mergeCell ref="D6:D7"/>
    <mergeCell ref="E6:F7"/>
    <mergeCell ref="G6:G7"/>
    <mergeCell ref="H6:H7"/>
    <mergeCell ref="D20:L20"/>
    <mergeCell ref="A8:C9"/>
    <mergeCell ref="D8:D9"/>
    <mergeCell ref="E8:F9"/>
    <mergeCell ref="G8:G9"/>
    <mergeCell ref="H8:H9"/>
    <mergeCell ref="I8:L9"/>
    <mergeCell ref="H10:J10"/>
    <mergeCell ref="K10:L10"/>
    <mergeCell ref="D14:L14"/>
    <mergeCell ref="D16:L16"/>
    <mergeCell ref="D18:L18"/>
    <mergeCell ref="D22:L22"/>
    <mergeCell ref="D24:L24"/>
    <mergeCell ref="D26:L26"/>
    <mergeCell ref="D29:L29"/>
    <mergeCell ref="D32:L32"/>
    <mergeCell ref="D35:L35"/>
    <mergeCell ref="H53:I53"/>
    <mergeCell ref="A55:L55"/>
    <mergeCell ref="D43:L43"/>
    <mergeCell ref="D45:L45"/>
    <mergeCell ref="D52:F52"/>
  </mergeCells>
  <pageMargins left="0.39400000000000002" right="0.39400000000000002" top="0.59099999999999997" bottom="0.59099999999999997" header="0.5" footer="0.5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pane ySplit="10" topLeftCell="A11" activePane="bottomLeft" state="frozenSplit"/>
      <selection pane="bottomLeft" activeCell="F18" sqref="F18"/>
    </sheetView>
  </sheetViews>
  <sheetFormatPr defaultColWidth="11.53515625" defaultRowHeight="12.45" x14ac:dyDescent="0.3"/>
  <cols>
    <col min="1" max="2" width="16.53515625" customWidth="1"/>
    <col min="3" max="3" width="68.53515625" customWidth="1"/>
    <col min="4" max="4" width="22.07421875" customWidth="1"/>
    <col min="5" max="5" width="21" customWidth="1"/>
    <col min="6" max="6" width="20.84375" customWidth="1"/>
    <col min="7" max="7" width="19.69140625" customWidth="1"/>
    <col min="8" max="9" width="0" hidden="1" customWidth="1"/>
  </cols>
  <sheetData>
    <row r="1" spans="1:9" ht="72.900000000000006" customHeight="1" x14ac:dyDescent="0.3">
      <c r="A1" s="1" t="s">
        <v>116</v>
      </c>
      <c r="B1" s="129"/>
      <c r="C1" s="129"/>
      <c r="D1" s="129"/>
      <c r="E1" s="129"/>
      <c r="F1" s="129"/>
      <c r="G1" s="129"/>
    </row>
    <row r="2" spans="1:9" x14ac:dyDescent="0.3">
      <c r="A2" s="130" t="s">
        <v>1</v>
      </c>
      <c r="B2" s="132" t="str">
        <f>'Stavební rozpočet'!D2</f>
        <v>Oprava povrchu komunikace č. 43b "Kosov páteřní"</v>
      </c>
      <c r="C2" s="110"/>
      <c r="D2" s="135" t="s">
        <v>77</v>
      </c>
      <c r="E2" s="135" t="str">
        <f>'Stavební rozpočet'!I2</f>
        <v>Statutární město Jihlava</v>
      </c>
      <c r="F2" s="131"/>
      <c r="G2" s="137"/>
      <c r="H2" s="5"/>
    </row>
    <row r="3" spans="1:9" x14ac:dyDescent="0.3">
      <c r="A3" s="126"/>
      <c r="B3" s="133"/>
      <c r="C3" s="133"/>
      <c r="D3" s="112"/>
      <c r="E3" s="112"/>
      <c r="F3" s="112"/>
      <c r="G3" s="128"/>
      <c r="H3" s="5"/>
    </row>
    <row r="4" spans="1:9" x14ac:dyDescent="0.3">
      <c r="A4" s="118" t="s">
        <v>2</v>
      </c>
      <c r="B4" s="111" t="str">
        <f>'Stavební rozpočet'!D4</f>
        <v xml:space="preserve"> </v>
      </c>
      <c r="C4" s="112"/>
      <c r="D4" s="111" t="s">
        <v>78</v>
      </c>
      <c r="E4" s="111" t="str">
        <f>'Stavební rozpočet'!I4</f>
        <v> </v>
      </c>
      <c r="F4" s="112"/>
      <c r="G4" s="128"/>
      <c r="H4" s="5"/>
    </row>
    <row r="5" spans="1:9" x14ac:dyDescent="0.3">
      <c r="A5" s="126"/>
      <c r="B5" s="112"/>
      <c r="C5" s="112"/>
      <c r="D5" s="112"/>
      <c r="E5" s="112"/>
      <c r="F5" s="112"/>
      <c r="G5" s="128"/>
      <c r="H5" s="5"/>
    </row>
    <row r="6" spans="1:9" x14ac:dyDescent="0.3">
      <c r="A6" s="118" t="s">
        <v>3</v>
      </c>
      <c r="B6" s="111" t="str">
        <f>'Stavební rozpočet'!D6</f>
        <v>Jihlava</v>
      </c>
      <c r="C6" s="112"/>
      <c r="D6" s="111" t="s">
        <v>79</v>
      </c>
      <c r="E6" s="111" t="str">
        <f>'Stavební rozpočet'!I6</f>
        <v>dle výběrového řízení</v>
      </c>
      <c r="F6" s="112"/>
      <c r="G6" s="128"/>
      <c r="H6" s="5"/>
    </row>
    <row r="7" spans="1:9" x14ac:dyDescent="0.3">
      <c r="A7" s="126"/>
      <c r="B7" s="112"/>
      <c r="C7" s="112"/>
      <c r="D7" s="112"/>
      <c r="E7" s="112"/>
      <c r="F7" s="112"/>
      <c r="G7" s="128"/>
      <c r="H7" s="5"/>
    </row>
    <row r="8" spans="1:9" x14ac:dyDescent="0.3">
      <c r="A8" s="118" t="s">
        <v>80</v>
      </c>
      <c r="B8" s="111" t="str">
        <f>'Stavební rozpočet'!I8</f>
        <v>Ing. Bc. Karel Trojan</v>
      </c>
      <c r="C8" s="112"/>
      <c r="D8" s="121" t="s">
        <v>68</v>
      </c>
      <c r="E8" s="111" t="str">
        <f>'Stavební rozpočet'!G8</f>
        <v>23.01.2026</v>
      </c>
      <c r="F8" s="112"/>
      <c r="G8" s="128"/>
      <c r="H8" s="5"/>
    </row>
    <row r="9" spans="1:9" ht="12.9" thickBot="1" x14ac:dyDescent="0.35">
      <c r="A9" s="119"/>
      <c r="B9" s="120"/>
      <c r="C9" s="120"/>
      <c r="D9" s="120"/>
      <c r="E9" s="120"/>
      <c r="F9" s="120"/>
      <c r="G9" s="136"/>
      <c r="H9" s="5"/>
    </row>
    <row r="10" spans="1:9" ht="12.9" thickBot="1" x14ac:dyDescent="0.35">
      <c r="A10" s="40" t="s">
        <v>18</v>
      </c>
      <c r="B10" s="44" t="s">
        <v>19</v>
      </c>
      <c r="C10" s="47" t="s">
        <v>117</v>
      </c>
      <c r="D10" s="48" t="s">
        <v>118</v>
      </c>
      <c r="E10" s="48" t="s">
        <v>119</v>
      </c>
      <c r="F10" s="48" t="s">
        <v>120</v>
      </c>
      <c r="G10" s="49" t="s">
        <v>121</v>
      </c>
      <c r="H10" s="32"/>
    </row>
    <row r="11" spans="1:9" x14ac:dyDescent="0.3">
      <c r="A11" s="41"/>
      <c r="B11" s="45" t="s">
        <v>20</v>
      </c>
      <c r="C11" s="45" t="s">
        <v>37</v>
      </c>
      <c r="D11" s="51">
        <f>'Stavební rozpočet'!H12</f>
        <v>0</v>
      </c>
      <c r="E11" s="51">
        <f>'Stavební rozpočet'!I12</f>
        <v>0</v>
      </c>
      <c r="F11" s="51">
        <f>'Stavební rozpočet'!J12</f>
        <v>0</v>
      </c>
      <c r="G11" s="53">
        <f>'Stavební rozpočet'!L12</f>
        <v>0</v>
      </c>
      <c r="H11" s="50" t="s">
        <v>122</v>
      </c>
      <c r="I11" s="33">
        <f t="shared" ref="I11:I17" si="0">IF(H11="F",0,F11)</f>
        <v>0</v>
      </c>
    </row>
    <row r="12" spans="1:9" x14ac:dyDescent="0.3">
      <c r="A12" s="42"/>
      <c r="B12" s="20" t="s">
        <v>22</v>
      </c>
      <c r="C12" s="20" t="s">
        <v>51</v>
      </c>
      <c r="D12" s="33">
        <f>'Stavební rozpočet'!H27</f>
        <v>0</v>
      </c>
      <c r="E12" s="33">
        <f>'Stavební rozpočet'!I27</f>
        <v>0</v>
      </c>
      <c r="F12" s="33">
        <f>'Stavební rozpočet'!J27</f>
        <v>0</v>
      </c>
      <c r="G12" s="54">
        <f>'Stavební rozpočet'!L27</f>
        <v>0</v>
      </c>
      <c r="H12" s="50" t="s">
        <v>122</v>
      </c>
      <c r="I12" s="33">
        <f t="shared" si="0"/>
        <v>0</v>
      </c>
    </row>
    <row r="13" spans="1:9" x14ac:dyDescent="0.3">
      <c r="A13" s="42"/>
      <c r="B13" s="20" t="s">
        <v>15</v>
      </c>
      <c r="C13" s="20" t="s">
        <v>54</v>
      </c>
      <c r="D13" s="33">
        <f>'Stavební rozpočet'!H30</f>
        <v>0</v>
      </c>
      <c r="E13" s="33">
        <f>'Stavební rozpočet'!I30</f>
        <v>0</v>
      </c>
      <c r="F13" s="33">
        <f>'Stavební rozpočet'!J30</f>
        <v>0</v>
      </c>
      <c r="G13" s="54">
        <f>'Stavební rozpočet'!L30</f>
        <v>2.2000000000000002</v>
      </c>
      <c r="H13" s="50" t="s">
        <v>122</v>
      </c>
      <c r="I13" s="33">
        <f t="shared" si="0"/>
        <v>0</v>
      </c>
    </row>
    <row r="14" spans="1:9" x14ac:dyDescent="0.3">
      <c r="A14" s="42"/>
      <c r="B14" s="20" t="s">
        <v>25</v>
      </c>
      <c r="C14" s="89" t="s">
        <v>55</v>
      </c>
      <c r="D14" s="33">
        <f>'Stavební rozpočet'!H33</f>
        <v>0</v>
      </c>
      <c r="E14" s="33">
        <f>'Stavební rozpočet'!I33</f>
        <v>0</v>
      </c>
      <c r="F14" s="33">
        <f>'Stavební rozpočet'!J33</f>
        <v>0</v>
      </c>
      <c r="G14" s="54">
        <f>'Stavební rozpočet'!L33</f>
        <v>83.830650000000006</v>
      </c>
      <c r="H14" s="50" t="s">
        <v>122</v>
      </c>
      <c r="I14" s="33">
        <f t="shared" si="0"/>
        <v>0</v>
      </c>
    </row>
    <row r="15" spans="1:9" x14ac:dyDescent="0.3">
      <c r="A15" s="42"/>
      <c r="B15" s="20" t="s">
        <v>27</v>
      </c>
      <c r="C15" s="20" t="s">
        <v>58</v>
      </c>
      <c r="D15" s="33">
        <f>'Stavební rozpočet'!H41</f>
        <v>0</v>
      </c>
      <c r="E15" s="33">
        <f>'Stavební rozpočet'!I41</f>
        <v>0</v>
      </c>
      <c r="F15" s="33">
        <f>'Stavební rozpočet'!J41</f>
        <v>0</v>
      </c>
      <c r="G15" s="54">
        <f>'Stavební rozpočet'!L41</f>
        <v>2E-3</v>
      </c>
      <c r="H15" s="50" t="s">
        <v>122</v>
      </c>
      <c r="I15" s="33">
        <f t="shared" si="0"/>
        <v>0</v>
      </c>
    </row>
    <row r="16" spans="1:9" x14ac:dyDescent="0.3">
      <c r="A16" s="42"/>
      <c r="B16" s="20" t="s">
        <v>29</v>
      </c>
      <c r="C16" s="20" t="s">
        <v>60</v>
      </c>
      <c r="D16" s="33">
        <f>'Stavební rozpočet'!H46</f>
        <v>0</v>
      </c>
      <c r="E16" s="33">
        <f>'Stavební rozpočet'!I46</f>
        <v>0</v>
      </c>
      <c r="F16" s="33">
        <f>'Stavební rozpočet'!J46</f>
        <v>0</v>
      </c>
      <c r="G16" s="54">
        <f>'Stavební rozpočet'!L46</f>
        <v>0</v>
      </c>
      <c r="H16" s="50" t="s">
        <v>122</v>
      </c>
      <c r="I16" s="33">
        <f t="shared" si="0"/>
        <v>0</v>
      </c>
    </row>
    <row r="17" spans="1:9" x14ac:dyDescent="0.3">
      <c r="A17" s="43"/>
      <c r="B17" s="46" t="s">
        <v>31</v>
      </c>
      <c r="C17" s="46" t="s">
        <v>62</v>
      </c>
      <c r="D17" s="52">
        <f>'Stavební rozpočet'!H49</f>
        <v>0</v>
      </c>
      <c r="E17" s="52">
        <f>'Stavební rozpočet'!I49</f>
        <v>0</v>
      </c>
      <c r="F17" s="52">
        <f>'Stavební rozpočet'!J49</f>
        <v>0</v>
      </c>
      <c r="G17" s="55">
        <f>'Stavební rozpočet'!L49</f>
        <v>0</v>
      </c>
      <c r="H17" s="50" t="s">
        <v>122</v>
      </c>
      <c r="I17" s="33">
        <f t="shared" si="0"/>
        <v>0</v>
      </c>
    </row>
    <row r="18" spans="1:9" x14ac:dyDescent="0.3">
      <c r="A18" s="83" t="s">
        <v>83</v>
      </c>
      <c r="B18" s="8"/>
      <c r="C18" s="8"/>
      <c r="D18" s="91">
        <f>SUM(D11:D17)</f>
        <v>0</v>
      </c>
      <c r="E18" s="84">
        <f>SUM(E11:E17)</f>
        <v>0</v>
      </c>
      <c r="F18" s="39">
        <f>ROUND(F11+F12+F13+F14+F15+F16+F17,0)</f>
        <v>0</v>
      </c>
      <c r="G18" s="8"/>
    </row>
    <row r="19" spans="1:9" x14ac:dyDescent="0.3">
      <c r="E19" s="85"/>
    </row>
    <row r="20" spans="1:9" x14ac:dyDescent="0.3">
      <c r="D20" s="85"/>
      <c r="E20" s="85"/>
    </row>
    <row r="21" spans="1:9" x14ac:dyDescent="0.3">
      <c r="E21" s="85"/>
    </row>
    <row r="22" spans="1:9" x14ac:dyDescent="0.3">
      <c r="E22" s="85"/>
    </row>
    <row r="23" spans="1:9" x14ac:dyDescent="0.3">
      <c r="E23" s="85"/>
    </row>
    <row r="24" spans="1:9" x14ac:dyDescent="0.3">
      <c r="E24" s="85"/>
    </row>
  </sheetData>
  <sheetProtection algorithmName="SHA-512" hashValue="Br9AfpdXXQnn4lIpN+I9Kbw8k+PoIEZ16IseEljTkpbgVvt3e6gISDQ7VS90D8FhRNWWkP9pAqvIJ3rmvGZuAg==" saltValue="wlbtl9tIQSpWSPNKa3lg/w==" spinCount="100000" sheet="1" objects="1" scenarios="1"/>
  <mergeCells count="17">
    <mergeCell ref="A4:A5"/>
    <mergeCell ref="B4:C5"/>
    <mergeCell ref="D4:D5"/>
    <mergeCell ref="E4:G5"/>
    <mergeCell ref="A1:G1"/>
    <mergeCell ref="A2:A3"/>
    <mergeCell ref="B2:C3"/>
    <mergeCell ref="D2:D3"/>
    <mergeCell ref="E2:G3"/>
    <mergeCell ref="A6:A7"/>
    <mergeCell ref="B6:C7"/>
    <mergeCell ref="D6:D7"/>
    <mergeCell ref="E6:G7"/>
    <mergeCell ref="A8:A9"/>
    <mergeCell ref="B8:C9"/>
    <mergeCell ref="D8:D9"/>
    <mergeCell ref="E8:G9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topLeftCell="A7" workbookViewId="0">
      <selection activeCell="I10" sqref="I10:I11"/>
    </sheetView>
  </sheetViews>
  <sheetFormatPr defaultColWidth="11.53515625" defaultRowHeight="12.45" x14ac:dyDescent="0.3"/>
  <cols>
    <col min="1" max="1" width="9.07421875" customWidth="1"/>
    <col min="2" max="2" width="12.84375" customWidth="1"/>
    <col min="3" max="3" width="22.84375" customWidth="1"/>
    <col min="4" max="4" width="10" customWidth="1"/>
    <col min="5" max="5" width="14" customWidth="1"/>
    <col min="6" max="6" width="22.84375" customWidth="1"/>
    <col min="7" max="7" width="9.07421875" customWidth="1"/>
    <col min="8" max="8" width="12.84375" customWidth="1"/>
    <col min="9" max="9" width="22.84375" customWidth="1"/>
  </cols>
  <sheetData>
    <row r="1" spans="1:10" ht="72.900000000000006" customHeight="1" x14ac:dyDescent="0.3">
      <c r="A1" s="69"/>
      <c r="B1" s="15"/>
      <c r="C1" s="162" t="s">
        <v>138</v>
      </c>
      <c r="D1" s="129"/>
      <c r="E1" s="129"/>
      <c r="F1" s="129"/>
      <c r="G1" s="129"/>
      <c r="H1" s="129"/>
      <c r="I1" s="129"/>
    </row>
    <row r="2" spans="1:10" x14ac:dyDescent="0.3">
      <c r="A2" s="130" t="s">
        <v>1</v>
      </c>
      <c r="B2" s="131"/>
      <c r="C2" s="132" t="str">
        <f>'Stavební rozpočet'!D2</f>
        <v>Oprava povrchu komunikace č. 43b "Kosov páteřní"</v>
      </c>
      <c r="D2" s="110"/>
      <c r="E2" s="135" t="s">
        <v>77</v>
      </c>
      <c r="F2" s="135" t="str">
        <f>'Stavební rozpočet'!I2</f>
        <v>Statutární město Jihlava</v>
      </c>
      <c r="G2" s="131"/>
      <c r="H2" s="135" t="s">
        <v>163</v>
      </c>
      <c r="I2" s="163" t="s">
        <v>167</v>
      </c>
      <c r="J2" s="5"/>
    </row>
    <row r="3" spans="1:10" x14ac:dyDescent="0.3">
      <c r="A3" s="126"/>
      <c r="B3" s="112"/>
      <c r="C3" s="133"/>
      <c r="D3" s="133"/>
      <c r="E3" s="112"/>
      <c r="F3" s="112"/>
      <c r="G3" s="112"/>
      <c r="H3" s="112"/>
      <c r="I3" s="128"/>
      <c r="J3" s="5"/>
    </row>
    <row r="4" spans="1:10" x14ac:dyDescent="0.3">
      <c r="A4" s="118" t="s">
        <v>2</v>
      </c>
      <c r="B4" s="112"/>
      <c r="C4" s="111" t="str">
        <f>'Stavební rozpočet'!D4</f>
        <v xml:space="preserve"> </v>
      </c>
      <c r="D4" s="112"/>
      <c r="E4" s="111" t="s">
        <v>78</v>
      </c>
      <c r="F4" s="111" t="str">
        <f>'Stavební rozpočet'!I4</f>
        <v> </v>
      </c>
      <c r="G4" s="112"/>
      <c r="H4" s="111" t="s">
        <v>163</v>
      </c>
      <c r="I4" s="127"/>
      <c r="J4" s="5"/>
    </row>
    <row r="5" spans="1:10" x14ac:dyDescent="0.3">
      <c r="A5" s="126"/>
      <c r="B5" s="112"/>
      <c r="C5" s="112"/>
      <c r="D5" s="112"/>
      <c r="E5" s="112"/>
      <c r="F5" s="112"/>
      <c r="G5" s="112"/>
      <c r="H5" s="112"/>
      <c r="I5" s="128"/>
      <c r="J5" s="5"/>
    </row>
    <row r="6" spans="1:10" x14ac:dyDescent="0.3">
      <c r="A6" s="118" t="s">
        <v>3</v>
      </c>
      <c r="B6" s="112"/>
      <c r="C6" s="111" t="str">
        <f>'Stavební rozpočet'!D6</f>
        <v>Jihlava</v>
      </c>
      <c r="D6" s="112"/>
      <c r="E6" s="111" t="s">
        <v>79</v>
      </c>
      <c r="F6" s="111" t="str">
        <f>'Stavební rozpočet'!I6</f>
        <v>dle výběrového řízení</v>
      </c>
      <c r="G6" s="112"/>
      <c r="H6" s="111" t="s">
        <v>163</v>
      </c>
      <c r="I6" s="127"/>
      <c r="J6" s="5"/>
    </row>
    <row r="7" spans="1:10" x14ac:dyDescent="0.3">
      <c r="A7" s="126"/>
      <c r="B7" s="112"/>
      <c r="C7" s="112"/>
      <c r="D7" s="112"/>
      <c r="E7" s="112"/>
      <c r="F7" s="112"/>
      <c r="G7" s="112"/>
      <c r="H7" s="112"/>
      <c r="I7" s="128"/>
      <c r="J7" s="5"/>
    </row>
    <row r="8" spans="1:10" x14ac:dyDescent="0.3">
      <c r="A8" s="118" t="s">
        <v>66</v>
      </c>
      <c r="B8" s="112"/>
      <c r="C8" s="111" t="str">
        <f>'Stavební rozpočet'!G4</f>
        <v xml:space="preserve"> </v>
      </c>
      <c r="D8" s="112"/>
      <c r="E8" s="111" t="s">
        <v>67</v>
      </c>
      <c r="F8" s="111" t="str">
        <f>'Stavební rozpočet'!G6</f>
        <v xml:space="preserve"> </v>
      </c>
      <c r="G8" s="112"/>
      <c r="H8" s="121" t="s">
        <v>164</v>
      </c>
      <c r="I8" s="159" t="s">
        <v>183</v>
      </c>
      <c r="J8" s="5"/>
    </row>
    <row r="9" spans="1:10" x14ac:dyDescent="0.3">
      <c r="A9" s="126"/>
      <c r="B9" s="112"/>
      <c r="C9" s="112"/>
      <c r="D9" s="112"/>
      <c r="E9" s="112"/>
      <c r="F9" s="112"/>
      <c r="G9" s="112"/>
      <c r="H9" s="112"/>
      <c r="I9" s="128"/>
      <c r="J9" s="5"/>
    </row>
    <row r="10" spans="1:10" x14ac:dyDescent="0.3">
      <c r="A10" s="118" t="s">
        <v>4</v>
      </c>
      <c r="B10" s="112"/>
      <c r="C10" s="111" t="str">
        <f>'Stavební rozpočet'!D8</f>
        <v xml:space="preserve"> </v>
      </c>
      <c r="D10" s="112"/>
      <c r="E10" s="111" t="s">
        <v>80</v>
      </c>
      <c r="F10" s="111" t="str">
        <f>'Stavební rozpočet'!I8</f>
        <v>Ing. Bc. Karel Trojan</v>
      </c>
      <c r="G10" s="112"/>
      <c r="H10" s="121" t="s">
        <v>165</v>
      </c>
      <c r="I10" s="157" t="str">
        <f>'Stavební rozpočet'!G8</f>
        <v>23.01.2026</v>
      </c>
      <c r="J10" s="5"/>
    </row>
    <row r="11" spans="1:10" x14ac:dyDescent="0.3">
      <c r="A11" s="160"/>
      <c r="B11" s="161"/>
      <c r="C11" s="161"/>
      <c r="D11" s="161"/>
      <c r="E11" s="161"/>
      <c r="F11" s="161"/>
      <c r="G11" s="161"/>
      <c r="H11" s="161"/>
      <c r="I11" s="158"/>
      <c r="J11" s="5"/>
    </row>
    <row r="12" spans="1:10" ht="23.4" customHeight="1" x14ac:dyDescent="0.3">
      <c r="A12" s="153" t="s">
        <v>123</v>
      </c>
      <c r="B12" s="154"/>
      <c r="C12" s="154"/>
      <c r="D12" s="154"/>
      <c r="E12" s="154"/>
      <c r="F12" s="154"/>
      <c r="G12" s="154"/>
      <c r="H12" s="154"/>
      <c r="I12" s="154"/>
    </row>
    <row r="13" spans="1:10" ht="26.4" customHeight="1" x14ac:dyDescent="0.3">
      <c r="A13" s="56" t="s">
        <v>124</v>
      </c>
      <c r="B13" s="155" t="s">
        <v>136</v>
      </c>
      <c r="C13" s="156"/>
      <c r="D13" s="56" t="s">
        <v>139</v>
      </c>
      <c r="E13" s="155" t="s">
        <v>148</v>
      </c>
      <c r="F13" s="156"/>
      <c r="G13" s="56" t="s">
        <v>149</v>
      </c>
      <c r="H13" s="155" t="s">
        <v>166</v>
      </c>
      <c r="I13" s="156"/>
      <c r="J13" s="5"/>
    </row>
    <row r="14" spans="1:10" ht="15.15" customHeight="1" x14ac:dyDescent="0.3">
      <c r="A14" s="57" t="s">
        <v>125</v>
      </c>
      <c r="B14" s="61" t="s">
        <v>137</v>
      </c>
      <c r="C14" s="64">
        <f>'Stavební rozpočet - součet'!D18</f>
        <v>0</v>
      </c>
      <c r="D14" s="151" t="s">
        <v>140</v>
      </c>
      <c r="E14" s="152"/>
      <c r="F14" s="64">
        <v>0</v>
      </c>
      <c r="G14" s="151" t="s">
        <v>150</v>
      </c>
      <c r="H14" s="152"/>
      <c r="I14" s="64">
        <v>0</v>
      </c>
      <c r="J14" s="5"/>
    </row>
    <row r="15" spans="1:10" ht="15.15" customHeight="1" x14ac:dyDescent="0.3">
      <c r="A15" s="58"/>
      <c r="B15" s="61" t="s">
        <v>87</v>
      </c>
      <c r="C15" s="64">
        <f>'Stavební rozpočet - součet'!E18-'Stavební rozpočet - součet'!E17</f>
        <v>0</v>
      </c>
      <c r="D15" s="151" t="s">
        <v>141</v>
      </c>
      <c r="E15" s="152"/>
      <c r="F15" s="64">
        <v>0</v>
      </c>
      <c r="G15" s="151" t="s">
        <v>151</v>
      </c>
      <c r="H15" s="152"/>
      <c r="I15" s="64">
        <v>0</v>
      </c>
      <c r="J15" s="5"/>
    </row>
    <row r="16" spans="1:10" ht="15.15" customHeight="1" x14ac:dyDescent="0.3">
      <c r="A16" s="57" t="s">
        <v>126</v>
      </c>
      <c r="B16" s="61" t="s">
        <v>137</v>
      </c>
      <c r="C16" s="64">
        <f>SUM('Stavební rozpočet'!AC12:AC52)</f>
        <v>0</v>
      </c>
      <c r="D16" s="151" t="s">
        <v>142</v>
      </c>
      <c r="E16" s="152"/>
      <c r="F16" s="64">
        <v>0</v>
      </c>
      <c r="G16" s="151" t="s">
        <v>152</v>
      </c>
      <c r="H16" s="152"/>
      <c r="I16" s="64">
        <v>0</v>
      </c>
      <c r="J16" s="5"/>
    </row>
    <row r="17" spans="1:10" ht="15.15" customHeight="1" x14ac:dyDescent="0.3">
      <c r="A17" s="58"/>
      <c r="B17" s="61" t="s">
        <v>87</v>
      </c>
      <c r="C17" s="64">
        <f>SUM('Stavební rozpočet'!AD12:AD52)</f>
        <v>0</v>
      </c>
      <c r="D17" s="151"/>
      <c r="E17" s="152"/>
      <c r="F17" s="65"/>
      <c r="G17" s="151" t="s">
        <v>153</v>
      </c>
      <c r="H17" s="152"/>
      <c r="I17" s="64">
        <v>0</v>
      </c>
      <c r="J17" s="5"/>
    </row>
    <row r="18" spans="1:10" ht="15.15" customHeight="1" x14ac:dyDescent="0.3">
      <c r="A18" s="57" t="s">
        <v>127</v>
      </c>
      <c r="B18" s="61" t="s">
        <v>137</v>
      </c>
      <c r="C18" s="64">
        <f>SUM('Stavební rozpočet'!AE12:AE52)</f>
        <v>0</v>
      </c>
      <c r="D18" s="151"/>
      <c r="E18" s="152"/>
      <c r="F18" s="65"/>
      <c r="G18" s="151" t="s">
        <v>154</v>
      </c>
      <c r="H18" s="152"/>
      <c r="I18" s="64">
        <v>0</v>
      </c>
      <c r="J18" s="5"/>
    </row>
    <row r="19" spans="1:10" ht="15.15" customHeight="1" x14ac:dyDescent="0.3">
      <c r="A19" s="58"/>
      <c r="B19" s="61" t="s">
        <v>87</v>
      </c>
      <c r="C19" s="64">
        <f>SUM('Stavební rozpočet'!AF12:AF52)</f>
        <v>0</v>
      </c>
      <c r="D19" s="151"/>
      <c r="E19" s="152"/>
      <c r="F19" s="65"/>
      <c r="G19" s="151" t="s">
        <v>155</v>
      </c>
      <c r="H19" s="152"/>
      <c r="I19" s="64">
        <v>0</v>
      </c>
      <c r="J19" s="5"/>
    </row>
    <row r="20" spans="1:10" ht="15.15" customHeight="1" x14ac:dyDescent="0.3">
      <c r="A20" s="149" t="s">
        <v>128</v>
      </c>
      <c r="B20" s="150"/>
      <c r="C20" s="64">
        <f>SUM('Stavební rozpočet'!AG12:AG52)</f>
        <v>0</v>
      </c>
      <c r="D20" s="151"/>
      <c r="E20" s="152"/>
      <c r="F20" s="65"/>
      <c r="G20" s="151"/>
      <c r="H20" s="152"/>
      <c r="I20" s="65"/>
      <c r="J20" s="5"/>
    </row>
    <row r="21" spans="1:10" ht="15.15" customHeight="1" x14ac:dyDescent="0.3">
      <c r="A21" s="149" t="s">
        <v>129</v>
      </c>
      <c r="B21" s="150"/>
      <c r="C21" s="64">
        <f>'Stavební rozpočet - součet'!F17</f>
        <v>0</v>
      </c>
      <c r="D21" s="151"/>
      <c r="E21" s="152"/>
      <c r="F21" s="65"/>
      <c r="G21" s="151"/>
      <c r="H21" s="152"/>
      <c r="I21" s="65"/>
      <c r="J21" s="5"/>
    </row>
    <row r="22" spans="1:10" ht="16.649999999999999" customHeight="1" x14ac:dyDescent="0.3">
      <c r="A22" s="149" t="s">
        <v>130</v>
      </c>
      <c r="B22" s="150"/>
      <c r="C22" s="64">
        <f>ROUND(SUM(C14:C21),0)</f>
        <v>0</v>
      </c>
      <c r="D22" s="149" t="s">
        <v>143</v>
      </c>
      <c r="E22" s="150"/>
      <c r="F22" s="64">
        <f>SUM(F14:F21)</f>
        <v>0</v>
      </c>
      <c r="G22" s="149" t="s">
        <v>156</v>
      </c>
      <c r="H22" s="150"/>
      <c r="I22" s="64">
        <f>SUM(I14:I21)</f>
        <v>0</v>
      </c>
      <c r="J22" s="5"/>
    </row>
    <row r="23" spans="1:10" ht="15.15" customHeight="1" x14ac:dyDescent="0.3">
      <c r="A23" s="8"/>
      <c r="B23" s="8"/>
      <c r="C23" s="63"/>
      <c r="D23" s="149" t="s">
        <v>144</v>
      </c>
      <c r="E23" s="150"/>
      <c r="F23" s="66">
        <v>0</v>
      </c>
      <c r="G23" s="149" t="s">
        <v>157</v>
      </c>
      <c r="H23" s="150"/>
      <c r="I23" s="64">
        <v>0</v>
      </c>
      <c r="J23" s="5"/>
    </row>
    <row r="24" spans="1:10" ht="15.15" customHeight="1" x14ac:dyDescent="0.3">
      <c r="D24" s="8"/>
      <c r="E24" s="8"/>
      <c r="F24" s="67"/>
      <c r="G24" s="149" t="s">
        <v>158</v>
      </c>
      <c r="H24" s="150"/>
      <c r="I24" s="64">
        <v>0</v>
      </c>
      <c r="J24" s="5"/>
    </row>
    <row r="25" spans="1:10" ht="15.15" customHeight="1" x14ac:dyDescent="0.3">
      <c r="F25" s="31"/>
      <c r="G25" s="149" t="s">
        <v>159</v>
      </c>
      <c r="H25" s="150"/>
      <c r="I25" s="64">
        <v>0</v>
      </c>
      <c r="J25" s="5"/>
    </row>
    <row r="26" spans="1:10" x14ac:dyDescent="0.3">
      <c r="A26" s="15"/>
      <c r="B26" s="15"/>
      <c r="C26" s="15"/>
      <c r="G26" s="8"/>
      <c r="H26" s="8"/>
      <c r="I26" s="8"/>
    </row>
    <row r="27" spans="1:10" ht="15.15" customHeight="1" x14ac:dyDescent="0.3">
      <c r="A27" s="144" t="s">
        <v>131</v>
      </c>
      <c r="B27" s="145"/>
      <c r="C27" s="68">
        <f>ROUND(SUM('Stavební rozpočet'!AI12:AI52),0)</f>
        <v>0</v>
      </c>
      <c r="D27" s="7"/>
      <c r="E27" s="15"/>
      <c r="F27" s="15"/>
      <c r="G27" s="15"/>
      <c r="H27" s="15"/>
      <c r="I27" s="15"/>
    </row>
    <row r="28" spans="1:10" ht="15.15" customHeight="1" x14ac:dyDescent="0.3">
      <c r="A28" s="144" t="s">
        <v>132</v>
      </c>
      <c r="B28" s="145"/>
      <c r="C28" s="68">
        <f>ROUND(SUM('Stavební rozpočet'!AJ12:AJ52),0)</f>
        <v>0</v>
      </c>
      <c r="D28" s="144" t="s">
        <v>145</v>
      </c>
      <c r="E28" s="145"/>
      <c r="F28" s="68">
        <f>ROUND(C28*(15/100),2)</f>
        <v>0</v>
      </c>
      <c r="G28" s="144" t="s">
        <v>160</v>
      </c>
      <c r="H28" s="145"/>
      <c r="I28" s="68">
        <f>ROUND(SUM(C27:C29),0)</f>
        <v>0</v>
      </c>
      <c r="J28" s="5"/>
    </row>
    <row r="29" spans="1:10" ht="15.15" customHeight="1" x14ac:dyDescent="0.3">
      <c r="A29" s="144" t="s">
        <v>133</v>
      </c>
      <c r="B29" s="145"/>
      <c r="C29" s="68">
        <f>C22</f>
        <v>0</v>
      </c>
      <c r="D29" s="144" t="s">
        <v>146</v>
      </c>
      <c r="E29" s="145"/>
      <c r="F29" s="68">
        <f>ROUND(C29*(21/100),2)</f>
        <v>0</v>
      </c>
      <c r="G29" s="144" t="s">
        <v>161</v>
      </c>
      <c r="H29" s="145"/>
      <c r="I29" s="68">
        <f>ROUND(SUM(F28:F29)+I28,0)</f>
        <v>0</v>
      </c>
      <c r="J29" s="5"/>
    </row>
    <row r="30" spans="1:10" x14ac:dyDescent="0.3">
      <c r="A30" s="59"/>
      <c r="B30" s="59"/>
      <c r="C30" s="59"/>
      <c r="D30" s="59"/>
      <c r="E30" s="59"/>
      <c r="F30" s="59"/>
      <c r="G30" s="59"/>
      <c r="H30" s="59"/>
      <c r="I30" s="59"/>
    </row>
    <row r="31" spans="1:10" ht="14.4" customHeight="1" x14ac:dyDescent="0.3">
      <c r="A31" s="146" t="s">
        <v>134</v>
      </c>
      <c r="B31" s="147"/>
      <c r="C31" s="148"/>
      <c r="D31" s="146" t="s">
        <v>147</v>
      </c>
      <c r="E31" s="147"/>
      <c r="F31" s="148"/>
      <c r="G31" s="146" t="s">
        <v>162</v>
      </c>
      <c r="H31" s="147"/>
      <c r="I31" s="148"/>
      <c r="J31" s="32"/>
    </row>
    <row r="32" spans="1:10" ht="14.4" customHeight="1" x14ac:dyDescent="0.3">
      <c r="A32" s="138"/>
      <c r="B32" s="139"/>
      <c r="C32" s="140"/>
      <c r="D32" s="138"/>
      <c r="E32" s="139"/>
      <c r="F32" s="140"/>
      <c r="G32" s="138"/>
      <c r="H32" s="139"/>
      <c r="I32" s="140"/>
      <c r="J32" s="32"/>
    </row>
    <row r="33" spans="1:10" ht="14.4" customHeight="1" x14ac:dyDescent="0.3">
      <c r="A33" s="138"/>
      <c r="B33" s="139"/>
      <c r="C33" s="140"/>
      <c r="D33" s="138"/>
      <c r="E33" s="139"/>
      <c r="F33" s="140"/>
      <c r="G33" s="138"/>
      <c r="H33" s="139"/>
      <c r="I33" s="140"/>
      <c r="J33" s="32"/>
    </row>
    <row r="34" spans="1:10" ht="14.4" customHeight="1" x14ac:dyDescent="0.3">
      <c r="A34" s="138"/>
      <c r="B34" s="139"/>
      <c r="C34" s="140"/>
      <c r="D34" s="138"/>
      <c r="E34" s="139"/>
      <c r="F34" s="140"/>
      <c r="G34" s="138"/>
      <c r="H34" s="139"/>
      <c r="I34" s="140"/>
      <c r="J34" s="32"/>
    </row>
    <row r="35" spans="1:10" ht="14.4" customHeight="1" x14ac:dyDescent="0.3">
      <c r="A35" s="141" t="s">
        <v>135</v>
      </c>
      <c r="B35" s="142"/>
      <c r="C35" s="143"/>
      <c r="D35" s="141" t="s">
        <v>135</v>
      </c>
      <c r="E35" s="142"/>
      <c r="F35" s="143"/>
      <c r="G35" s="141" t="s">
        <v>135</v>
      </c>
      <c r="H35" s="142"/>
      <c r="I35" s="143"/>
      <c r="J35" s="32"/>
    </row>
    <row r="36" spans="1:10" ht="11.25" customHeight="1" x14ac:dyDescent="0.3">
      <c r="A36" s="60" t="s">
        <v>16</v>
      </c>
      <c r="B36" s="62"/>
      <c r="C36" s="62"/>
      <c r="D36" s="62"/>
      <c r="E36" s="62"/>
      <c r="F36" s="62"/>
      <c r="G36" s="62"/>
      <c r="H36" s="62"/>
      <c r="I36" s="62"/>
    </row>
    <row r="37" spans="1:10" x14ac:dyDescent="0.3">
      <c r="A37" s="111" t="s">
        <v>17</v>
      </c>
      <c r="B37" s="112"/>
      <c r="C37" s="112"/>
      <c r="D37" s="112"/>
      <c r="E37" s="112"/>
      <c r="F37" s="112"/>
      <c r="G37" s="112"/>
      <c r="H37" s="112"/>
      <c r="I37" s="112"/>
    </row>
  </sheetData>
  <sheetProtection algorithmName="SHA-512" hashValue="260EsmWfcMgvWJeyjivRPxVMexyiXc+A4mboqWAfIk5LLYg16+SnP1bWMPXuZavrEfMzkAMSME2g+Dtr3QUHLA==" saltValue="Juy2peor/+2BE4etIaYdXg==" spinCount="100000" sheet="1" objects="1" scenarios="1"/>
  <mergeCells count="83">
    <mergeCell ref="C1:I1"/>
    <mergeCell ref="A2:B3"/>
    <mergeCell ref="C2:D3"/>
    <mergeCell ref="E2:E3"/>
    <mergeCell ref="F2:G3"/>
    <mergeCell ref="H2:H3"/>
    <mergeCell ref="I2:I3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A29:B29"/>
    <mergeCell ref="D29:E29"/>
    <mergeCell ref="G29:H29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7:I37"/>
    <mergeCell ref="A34:C34"/>
    <mergeCell ref="D34:F34"/>
    <mergeCell ref="G34:I34"/>
    <mergeCell ref="A35:C35"/>
    <mergeCell ref="D35:F35"/>
    <mergeCell ref="G35:I35"/>
  </mergeCells>
  <pageMargins left="0.39400000000000002" right="0.39400000000000002" top="0.59099999999999997" bottom="0.59099999999999997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Stavební rozpočet</vt:lpstr>
      <vt:lpstr>Stavební rozpočet - součet</vt:lpstr>
      <vt:lpstr>Krycí list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TROJAN Karel Ing. Bc. Ph.D.</cp:lastModifiedBy>
  <dcterms:created xsi:type="dcterms:W3CDTF">2021-05-04T16:19:33Z</dcterms:created>
  <dcterms:modified xsi:type="dcterms:W3CDTF">2026-04-22T10:41:37Z</dcterms:modified>
</cp:coreProperties>
</file>