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Mahlerova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F94" i="1" l="1"/>
  <c r="BI49" i="1" l="1"/>
  <c r="BC49" i="1"/>
  <c r="AO49" i="1"/>
  <c r="BH49" i="1" s="1"/>
  <c r="AB49" i="1" s="1"/>
  <c r="AN49" i="1"/>
  <c r="BG49" i="1" s="1"/>
  <c r="AA49" i="1" s="1"/>
  <c r="AJ49" i="1"/>
  <c r="AI49" i="1"/>
  <c r="AG49" i="1"/>
  <c r="AF49" i="1"/>
  <c r="AE49" i="1"/>
  <c r="AD49" i="1"/>
  <c r="AC49" i="1"/>
  <c r="Y49" i="1"/>
  <c r="L49" i="1"/>
  <c r="BE49" i="1" s="1"/>
  <c r="J49" i="1"/>
  <c r="AK49" i="1" s="1"/>
  <c r="L37" i="1"/>
  <c r="J37" i="1"/>
  <c r="I37" i="1"/>
  <c r="H37" i="1"/>
  <c r="H49" i="1" l="1"/>
  <c r="AV49" i="1"/>
  <c r="I49" i="1"/>
  <c r="AW49" i="1"/>
  <c r="BB49" i="1" l="1"/>
  <c r="AU49" i="1"/>
  <c r="BI81" i="1" l="1"/>
  <c r="AG81" i="1" s="1"/>
  <c r="BC81" i="1"/>
  <c r="AO81" i="1"/>
  <c r="AW81" i="1" s="1"/>
  <c r="AN81" i="1"/>
  <c r="BG81" i="1" s="1"/>
  <c r="AJ81" i="1"/>
  <c r="AI81" i="1"/>
  <c r="AF81" i="1"/>
  <c r="AE81" i="1"/>
  <c r="AD81" i="1"/>
  <c r="AC81" i="1"/>
  <c r="AB81" i="1"/>
  <c r="AA81" i="1"/>
  <c r="Y81" i="1"/>
  <c r="L81" i="1"/>
  <c r="BE81" i="1" s="1"/>
  <c r="J81" i="1"/>
  <c r="AK81" i="1" s="1"/>
  <c r="BI79" i="1"/>
  <c r="AG79" i="1" s="1"/>
  <c r="BC79" i="1"/>
  <c r="AO79" i="1"/>
  <c r="BH79" i="1" s="1"/>
  <c r="AN79" i="1"/>
  <c r="BG79" i="1" s="1"/>
  <c r="AJ79" i="1"/>
  <c r="AI79" i="1"/>
  <c r="AF79" i="1"/>
  <c r="AE79" i="1"/>
  <c r="AD79" i="1"/>
  <c r="AC79" i="1"/>
  <c r="AB79" i="1"/>
  <c r="AA79" i="1"/>
  <c r="Y79" i="1"/>
  <c r="L79" i="1"/>
  <c r="BE79" i="1" s="1"/>
  <c r="J79" i="1"/>
  <c r="AK79" i="1" s="1"/>
  <c r="BI83" i="1"/>
  <c r="AG83" i="1" s="1"/>
  <c r="BC83" i="1"/>
  <c r="AO83" i="1"/>
  <c r="AW83" i="1" s="1"/>
  <c r="AN83" i="1"/>
  <c r="BG83" i="1" s="1"/>
  <c r="AJ83" i="1"/>
  <c r="AI83" i="1"/>
  <c r="AF83" i="1"/>
  <c r="AE83" i="1"/>
  <c r="AD83" i="1"/>
  <c r="AC83" i="1"/>
  <c r="AB83" i="1"/>
  <c r="AA83" i="1"/>
  <c r="Y83" i="1"/>
  <c r="L83" i="1"/>
  <c r="BE83" i="1" s="1"/>
  <c r="J83" i="1"/>
  <c r="AK83" i="1" s="1"/>
  <c r="H81" i="1" l="1"/>
  <c r="AV81" i="1"/>
  <c r="I81" i="1"/>
  <c r="BH81" i="1"/>
  <c r="H79" i="1"/>
  <c r="AV79" i="1"/>
  <c r="I79" i="1"/>
  <c r="AW79" i="1"/>
  <c r="BH83" i="1"/>
  <c r="H83" i="1"/>
  <c r="AV83" i="1"/>
  <c r="I83" i="1"/>
  <c r="BB81" i="1" l="1"/>
  <c r="AU81" i="1"/>
  <c r="BB79" i="1"/>
  <c r="AU79" i="1"/>
  <c r="BB83" i="1"/>
  <c r="AU83" i="1"/>
  <c r="L68" i="1" l="1"/>
  <c r="BI75" i="1"/>
  <c r="BC75" i="1"/>
  <c r="AO75" i="1"/>
  <c r="BH75" i="1" s="1"/>
  <c r="AB75" i="1" s="1"/>
  <c r="AN75" i="1"/>
  <c r="BG75" i="1" s="1"/>
  <c r="AA75" i="1" s="1"/>
  <c r="AJ75" i="1"/>
  <c r="AI75" i="1"/>
  <c r="AG75" i="1"/>
  <c r="AF75" i="1"/>
  <c r="AE75" i="1"/>
  <c r="AD75" i="1"/>
  <c r="AC75" i="1"/>
  <c r="Y75" i="1"/>
  <c r="L75" i="1"/>
  <c r="BE75" i="1" s="1"/>
  <c r="J75" i="1"/>
  <c r="AK75" i="1" s="1"/>
  <c r="BI73" i="1"/>
  <c r="BC73" i="1"/>
  <c r="AO73" i="1"/>
  <c r="BH73" i="1" s="1"/>
  <c r="AB73" i="1" s="1"/>
  <c r="AN73" i="1"/>
  <c r="BG73" i="1" s="1"/>
  <c r="AA73" i="1" s="1"/>
  <c r="AJ73" i="1"/>
  <c r="AI73" i="1"/>
  <c r="AG73" i="1"/>
  <c r="AF73" i="1"/>
  <c r="AE73" i="1"/>
  <c r="AD73" i="1"/>
  <c r="AC73" i="1"/>
  <c r="Y73" i="1"/>
  <c r="L73" i="1"/>
  <c r="BE73" i="1" s="1"/>
  <c r="J73" i="1"/>
  <c r="AK73" i="1" s="1"/>
  <c r="I71" i="1"/>
  <c r="H71" i="1"/>
  <c r="I70" i="1"/>
  <c r="I69" i="1"/>
  <c r="H70" i="1"/>
  <c r="H69" i="1"/>
  <c r="L71" i="1"/>
  <c r="J71" i="1"/>
  <c r="H73" i="1" l="1"/>
  <c r="AV73" i="1"/>
  <c r="I73" i="1"/>
  <c r="AW73" i="1"/>
  <c r="AU73" i="1" s="1"/>
  <c r="H75" i="1"/>
  <c r="H68" i="1" s="1"/>
  <c r="AV75" i="1"/>
  <c r="I75" i="1"/>
  <c r="AW75" i="1"/>
  <c r="K61" i="1"/>
  <c r="H56" i="1"/>
  <c r="H54" i="1"/>
  <c r="I56" i="1"/>
  <c r="I54" i="1"/>
  <c r="L56" i="1"/>
  <c r="J56" i="1"/>
  <c r="L54" i="1"/>
  <c r="J54" i="1"/>
  <c r="I68" i="1" l="1"/>
  <c r="BB75" i="1"/>
  <c r="AU75" i="1"/>
  <c r="BB73" i="1"/>
  <c r="I77" i="1"/>
  <c r="BI51" i="1" l="1"/>
  <c r="BC51" i="1"/>
  <c r="AO51" i="1"/>
  <c r="BH51" i="1" s="1"/>
  <c r="AB51" i="1" s="1"/>
  <c r="AN51" i="1"/>
  <c r="BG51" i="1" s="1"/>
  <c r="AA51" i="1" s="1"/>
  <c r="AJ51" i="1"/>
  <c r="AI51" i="1"/>
  <c r="AG51" i="1"/>
  <c r="AF51" i="1"/>
  <c r="AE51" i="1"/>
  <c r="AD51" i="1"/>
  <c r="AC51" i="1"/>
  <c r="Y51" i="1"/>
  <c r="L51" i="1"/>
  <c r="BE51" i="1" s="1"/>
  <c r="J51" i="1"/>
  <c r="AK51" i="1" s="1"/>
  <c r="H51" i="1" l="1"/>
  <c r="AV51" i="1"/>
  <c r="I51" i="1"/>
  <c r="AW51" i="1"/>
  <c r="BB51" i="1" l="1"/>
  <c r="AU51" i="1"/>
  <c r="BI64" i="1" l="1"/>
  <c r="BC64" i="1"/>
  <c r="AO64" i="1"/>
  <c r="I64" i="1" s="1"/>
  <c r="AN64" i="1"/>
  <c r="BG64" i="1" s="1"/>
  <c r="AA64" i="1" s="1"/>
  <c r="AJ64" i="1"/>
  <c r="AI64" i="1"/>
  <c r="AG64" i="1"/>
  <c r="AF64" i="1"/>
  <c r="AE64" i="1"/>
  <c r="AD64" i="1"/>
  <c r="AC64" i="1"/>
  <c r="Y64" i="1"/>
  <c r="L64" i="1"/>
  <c r="BE64" i="1" s="1"/>
  <c r="J64" i="1"/>
  <c r="AK64" i="1" s="1"/>
  <c r="I42" i="1"/>
  <c r="H64" i="1" l="1"/>
  <c r="AW64" i="1"/>
  <c r="BH64" i="1"/>
  <c r="AB64" i="1" s="1"/>
  <c r="AV64" i="1"/>
  <c r="AU64" i="1" l="1"/>
  <c r="BB64" i="1"/>
  <c r="J58" i="1" l="1"/>
  <c r="I58" i="1"/>
  <c r="H58" i="1"/>
  <c r="AS53" i="1" l="1"/>
  <c r="AR53" i="1"/>
  <c r="I53" i="1"/>
  <c r="E15" i="2" s="1"/>
  <c r="L53" i="1" l="1"/>
  <c r="G15" i="2" s="1"/>
  <c r="AT53" i="1"/>
  <c r="J53" i="1"/>
  <c r="F15" i="2" s="1"/>
  <c r="H53" i="1"/>
  <c r="D15" i="2" s="1"/>
  <c r="L42" i="1" l="1"/>
  <c r="J42" i="1"/>
  <c r="H42" i="1"/>
  <c r="L35" i="1" l="1"/>
  <c r="J35" i="1"/>
  <c r="I35" i="1"/>
  <c r="I39" i="1" l="1"/>
  <c r="I33" i="1"/>
  <c r="E19" i="2"/>
  <c r="J62" i="1"/>
  <c r="I62" i="1"/>
  <c r="H62" i="1"/>
  <c r="H61" i="1" l="1"/>
  <c r="D17" i="2" s="1"/>
  <c r="I61" i="1"/>
  <c r="E17" i="2" s="1"/>
  <c r="J61" i="1"/>
  <c r="F17" i="2" s="1"/>
  <c r="H85" i="1"/>
  <c r="L39" i="1"/>
  <c r="J39" i="1"/>
  <c r="BJ39" i="1"/>
  <c r="L33" i="1"/>
  <c r="J33" i="1"/>
  <c r="BJ33" i="1"/>
  <c r="BD39" i="1"/>
  <c r="AK39" i="1"/>
  <c r="AJ39" i="1"/>
  <c r="AH39" i="1"/>
  <c r="AG39" i="1"/>
  <c r="AF39" i="1"/>
  <c r="AE39" i="1"/>
  <c r="AD39" i="1"/>
  <c r="Z39" i="1"/>
  <c r="BF39" i="1"/>
  <c r="AL39" i="1"/>
  <c r="AK33" i="1"/>
  <c r="AJ33" i="1"/>
  <c r="AH33" i="1"/>
  <c r="AG33" i="1"/>
  <c r="AF33" i="1"/>
  <c r="AE33" i="1"/>
  <c r="AD33" i="1"/>
  <c r="Z33" i="1"/>
  <c r="BF33" i="1"/>
  <c r="AL33" i="1"/>
  <c r="J46" i="1"/>
  <c r="L46" i="1"/>
  <c r="Y46" i="1"/>
  <c r="AC46" i="1"/>
  <c r="AD46" i="1"/>
  <c r="AE46" i="1"/>
  <c r="AF46" i="1"/>
  <c r="AG46" i="1"/>
  <c r="AI46" i="1"/>
  <c r="AJ46" i="1"/>
  <c r="AN46" i="1"/>
  <c r="AV46" i="1" s="1"/>
  <c r="AO46" i="1"/>
  <c r="I46" i="1" s="1"/>
  <c r="BC46" i="1"/>
  <c r="BI46" i="1"/>
  <c r="L62" i="1"/>
  <c r="AP62" i="1"/>
  <c r="AK62" i="1"/>
  <c r="AT61" i="1" s="1"/>
  <c r="AJ62" i="1"/>
  <c r="AS61" i="1" s="1"/>
  <c r="AH62" i="1"/>
  <c r="AG62" i="1"/>
  <c r="AF62" i="1"/>
  <c r="AE62" i="1"/>
  <c r="AD62" i="1"/>
  <c r="Z62" i="1"/>
  <c r="BF62" i="1"/>
  <c r="AL62" i="1"/>
  <c r="L85" i="1"/>
  <c r="L77" i="1" s="1"/>
  <c r="J85" i="1"/>
  <c r="J77" i="1" s="1"/>
  <c r="AL85" i="1"/>
  <c r="AK85" i="1"/>
  <c r="AJ85" i="1"/>
  <c r="AG85" i="1"/>
  <c r="AF85" i="1"/>
  <c r="AE85" i="1"/>
  <c r="AD85" i="1"/>
  <c r="AC85" i="1"/>
  <c r="AB85" i="1"/>
  <c r="Z85" i="1"/>
  <c r="BF85" i="1"/>
  <c r="L61" i="1" l="1"/>
  <c r="G17" i="2" s="1"/>
  <c r="BD85" i="1"/>
  <c r="H77" i="1"/>
  <c r="D19" i="2" s="1"/>
  <c r="BE46" i="1"/>
  <c r="F19" i="2"/>
  <c r="AP33" i="1"/>
  <c r="AX33" i="1" s="1"/>
  <c r="AO39" i="1"/>
  <c r="BH39" i="1" s="1"/>
  <c r="AB39" i="1" s="1"/>
  <c r="AP39" i="1"/>
  <c r="BI39" i="1" s="1"/>
  <c r="AC39" i="1" s="1"/>
  <c r="AO33" i="1"/>
  <c r="AW33" i="1" s="1"/>
  <c r="BD33" i="1"/>
  <c r="AP85" i="1"/>
  <c r="AX85" i="1" s="1"/>
  <c r="BJ85" i="1"/>
  <c r="AH85" i="1" s="1"/>
  <c r="BG46" i="1"/>
  <c r="AA46" i="1" s="1"/>
  <c r="H46" i="1"/>
  <c r="AK46" i="1"/>
  <c r="BH46" i="1"/>
  <c r="AB46" i="1" s="1"/>
  <c r="AW46" i="1"/>
  <c r="AU46" i="1" s="1"/>
  <c r="BD62" i="1"/>
  <c r="BJ62" i="1"/>
  <c r="AO85" i="1"/>
  <c r="BH85" i="1" s="1"/>
  <c r="AO62" i="1"/>
  <c r="BH62" i="1" s="1"/>
  <c r="AB62" i="1" s="1"/>
  <c r="AT77" i="1"/>
  <c r="AU77" i="1"/>
  <c r="AX62" i="1"/>
  <c r="AU61" i="1"/>
  <c r="BI62" i="1"/>
  <c r="AC62" i="1" s="1"/>
  <c r="AS77" i="1"/>
  <c r="G19" i="2" l="1"/>
  <c r="I94" i="1"/>
  <c r="H94" i="1"/>
  <c r="AX39" i="1"/>
  <c r="BI33" i="1"/>
  <c r="AC33" i="1" s="1"/>
  <c r="L94" i="1"/>
  <c r="J94" i="1"/>
  <c r="AW39" i="1"/>
  <c r="BI85" i="1"/>
  <c r="BH33" i="1"/>
  <c r="AB33" i="1" s="1"/>
  <c r="AV33" i="1"/>
  <c r="BC33" i="1"/>
  <c r="BB46" i="1"/>
  <c r="AW62" i="1"/>
  <c r="AV62" i="1" s="1"/>
  <c r="AW85" i="1"/>
  <c r="BC85" i="1" s="1"/>
  <c r="AV39" i="1" l="1"/>
  <c r="BC39" i="1"/>
  <c r="AV85" i="1"/>
  <c r="BC62" i="1"/>
  <c r="L70" i="1" l="1"/>
  <c r="J70" i="1"/>
  <c r="AS45" i="1" l="1"/>
  <c r="AR45" i="1"/>
  <c r="L45" i="1"/>
  <c r="J45" i="1"/>
  <c r="AT45" i="1" l="1"/>
  <c r="I45" i="1"/>
  <c r="H45" i="1"/>
  <c r="L69" i="1"/>
  <c r="J69" i="1"/>
  <c r="E16" i="2"/>
  <c r="D16" i="2"/>
  <c r="J68" i="1" l="1"/>
  <c r="F16" i="2" s="1"/>
  <c r="F88" i="1"/>
  <c r="L31" i="1"/>
  <c r="L30" i="1" s="1"/>
  <c r="F91" i="1" s="1"/>
  <c r="F92" i="1" l="1"/>
  <c r="G16" i="2"/>
  <c r="C2" i="5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H30" i="1" s="1"/>
  <c r="AO31" i="1"/>
  <c r="BH31" i="1" s="1"/>
  <c r="AB31" i="1" s="1"/>
  <c r="BC31" i="1"/>
  <c r="BI31" i="1"/>
  <c r="AA88" i="1"/>
  <c r="AB88" i="1"/>
  <c r="AC88" i="1"/>
  <c r="AD88" i="1"/>
  <c r="AE88" i="1"/>
  <c r="AF88" i="1"/>
  <c r="AG88" i="1"/>
  <c r="AI88" i="1"/>
  <c r="AR87" i="1" s="1"/>
  <c r="AJ88" i="1"/>
  <c r="AS87" i="1" s="1"/>
  <c r="AN88" i="1"/>
  <c r="AO88" i="1"/>
  <c r="BC88" i="1"/>
  <c r="AA91" i="1"/>
  <c r="AB91" i="1"/>
  <c r="AC91" i="1"/>
  <c r="AD91" i="1"/>
  <c r="AE91" i="1"/>
  <c r="AF91" i="1"/>
  <c r="AG91" i="1"/>
  <c r="AI91" i="1"/>
  <c r="AJ91" i="1"/>
  <c r="AN91" i="1"/>
  <c r="AO91" i="1"/>
  <c r="BC91" i="1"/>
  <c r="AA92" i="1"/>
  <c r="AB92" i="1"/>
  <c r="AC92" i="1"/>
  <c r="AD92" i="1"/>
  <c r="AE92" i="1"/>
  <c r="AF92" i="1"/>
  <c r="AG92" i="1"/>
  <c r="AI92" i="1"/>
  <c r="AJ92" i="1"/>
  <c r="AN92" i="1"/>
  <c r="AO92" i="1"/>
  <c r="BC92" i="1"/>
  <c r="B2" i="2"/>
  <c r="E2" i="2"/>
  <c r="B4" i="2"/>
  <c r="E4" i="2"/>
  <c r="B6" i="2"/>
  <c r="E6" i="2"/>
  <c r="B8" i="2"/>
  <c r="E8" i="2"/>
  <c r="C20" i="5" l="1"/>
  <c r="L91" i="1"/>
  <c r="BE91" i="1" s="1"/>
  <c r="BI91" i="1"/>
  <c r="Y91" i="1" s="1"/>
  <c r="I91" i="1"/>
  <c r="BG91" i="1"/>
  <c r="J91" i="1"/>
  <c r="AK91" i="1" s="1"/>
  <c r="BI92" i="1"/>
  <c r="Y92" i="1" s="1"/>
  <c r="L92" i="1"/>
  <c r="BE92" i="1" s="1"/>
  <c r="J92" i="1"/>
  <c r="AK92" i="1" s="1"/>
  <c r="BH92" i="1"/>
  <c r="BG92" i="1"/>
  <c r="C16" i="5"/>
  <c r="J12" i="1"/>
  <c r="BH88" i="1"/>
  <c r="I12" i="2"/>
  <c r="G14" i="2"/>
  <c r="F14" i="2"/>
  <c r="AK19" i="1"/>
  <c r="BH13" i="1"/>
  <c r="AB13" i="1" s="1"/>
  <c r="H91" i="1"/>
  <c r="AS90" i="1"/>
  <c r="AV91" i="1"/>
  <c r="AK13" i="1"/>
  <c r="H25" i="1"/>
  <c r="BH19" i="1"/>
  <c r="AB19" i="1" s="1"/>
  <c r="AS30" i="1"/>
  <c r="BG17" i="1"/>
  <c r="AA17" i="1" s="1"/>
  <c r="BG15" i="1"/>
  <c r="AA15" i="1" s="1"/>
  <c r="I15" i="1"/>
  <c r="AR30" i="1"/>
  <c r="BG25" i="1"/>
  <c r="AA25" i="1" s="1"/>
  <c r="AW19" i="1"/>
  <c r="AK21" i="1"/>
  <c r="AV17" i="1"/>
  <c r="AU17" i="1" s="1"/>
  <c r="AW15" i="1"/>
  <c r="AW91" i="1"/>
  <c r="AV15" i="1"/>
  <c r="C28" i="5"/>
  <c r="F28" i="5" s="1"/>
  <c r="AW31" i="1"/>
  <c r="AK28" i="1"/>
  <c r="AT27" i="1" s="1"/>
  <c r="AW23" i="1"/>
  <c r="AW21" i="1"/>
  <c r="BG13" i="1"/>
  <c r="AA13" i="1" s="1"/>
  <c r="C27" i="5"/>
  <c r="BH17" i="1"/>
  <c r="AB17" i="1" s="1"/>
  <c r="AR12" i="1"/>
  <c r="I17" i="1"/>
  <c r="L12" i="1"/>
  <c r="G11" i="2" s="1"/>
  <c r="AW13" i="1"/>
  <c r="BB13" i="1" s="1"/>
  <c r="C18" i="5"/>
  <c r="H92" i="1"/>
  <c r="F13" i="2"/>
  <c r="BE28" i="1"/>
  <c r="C19" i="5"/>
  <c r="C17" i="5"/>
  <c r="I23" i="1"/>
  <c r="I31" i="1"/>
  <c r="I30" i="1" s="1"/>
  <c r="BH91" i="1"/>
  <c r="AR90" i="1"/>
  <c r="G13" i="2"/>
  <c r="I21" i="1"/>
  <c r="D13" i="2"/>
  <c r="AW92" i="1"/>
  <c r="AK31" i="1"/>
  <c r="AV19" i="1"/>
  <c r="BE15" i="1"/>
  <c r="H13" i="1"/>
  <c r="AV92" i="1"/>
  <c r="BH28" i="1"/>
  <c r="AB28" i="1" s="1"/>
  <c r="I92" i="1"/>
  <c r="BG28" i="1"/>
  <c r="AA28" i="1" s="1"/>
  <c r="BH25" i="1"/>
  <c r="AB25" i="1" s="1"/>
  <c r="AV23" i="1"/>
  <c r="H19" i="1"/>
  <c r="AS12" i="1"/>
  <c r="H23" i="1"/>
  <c r="AW28" i="1"/>
  <c r="AK23" i="1"/>
  <c r="BG31" i="1"/>
  <c r="AA31" i="1" s="1"/>
  <c r="AV28" i="1"/>
  <c r="AW25" i="1"/>
  <c r="AU25" i="1" s="1"/>
  <c r="BG21" i="1"/>
  <c r="AA21" i="1" s="1"/>
  <c r="AV31" i="1"/>
  <c r="AV21" i="1"/>
  <c r="F11" i="2" l="1"/>
  <c r="I11" i="2" s="1"/>
  <c r="L90" i="1"/>
  <c r="G20" i="2" s="1"/>
  <c r="J90" i="1"/>
  <c r="F20" i="2" s="1"/>
  <c r="I20" i="2" s="1"/>
  <c r="I90" i="1"/>
  <c r="E20" i="2" s="1"/>
  <c r="C21" i="5" s="1"/>
  <c r="H90" i="1"/>
  <c r="D20" i="2" s="1"/>
  <c r="AW88" i="1"/>
  <c r="BG88" i="1"/>
  <c r="AV88" i="1"/>
  <c r="I88" i="1"/>
  <c r="I87" i="1" s="1"/>
  <c r="E18" i="2" s="1"/>
  <c r="J88" i="1"/>
  <c r="L88" i="1"/>
  <c r="BI88" i="1"/>
  <c r="Y88" i="1" s="1"/>
  <c r="H88" i="1"/>
  <c r="H87" i="1" s="1"/>
  <c r="D18" i="2" s="1"/>
  <c r="I17" i="2"/>
  <c r="E13" i="2"/>
  <c r="I13" i="2"/>
  <c r="D14" i="2"/>
  <c r="BB91" i="1"/>
  <c r="BB17" i="1"/>
  <c r="BB15" i="1"/>
  <c r="AT90" i="1"/>
  <c r="I12" i="1"/>
  <c r="E11" i="2" s="1"/>
  <c r="AU13" i="1"/>
  <c r="AT12" i="1"/>
  <c r="AU91" i="1"/>
  <c r="AT30" i="1"/>
  <c r="AU15" i="1"/>
  <c r="BB25" i="1"/>
  <c r="E14" i="2"/>
  <c r="AU23" i="1"/>
  <c r="BB23" i="1"/>
  <c r="BB19" i="1"/>
  <c r="AU19" i="1"/>
  <c r="AU21" i="1"/>
  <c r="BB21" i="1"/>
  <c r="AU31" i="1"/>
  <c r="BB31" i="1"/>
  <c r="AU92" i="1"/>
  <c r="BB92" i="1"/>
  <c r="H12" i="1"/>
  <c r="D11" i="2" s="1"/>
  <c r="AU28" i="1"/>
  <c r="BB28" i="1"/>
  <c r="E21" i="2" l="1"/>
  <c r="C15" i="5" s="1"/>
  <c r="AU88" i="1"/>
  <c r="BB88" i="1"/>
  <c r="BE88" i="1"/>
  <c r="L87" i="1"/>
  <c r="G18" i="2" s="1"/>
  <c r="AK88" i="1"/>
  <c r="AT87" i="1" s="1"/>
  <c r="J87" i="1"/>
  <c r="J99" i="1" s="1"/>
  <c r="D21" i="2"/>
  <c r="C14" i="5" s="1"/>
  <c r="I14" i="2"/>
  <c r="C22" i="5" l="1"/>
  <c r="C29" i="5" s="1"/>
  <c r="I28" i="5" s="1"/>
  <c r="F18" i="2"/>
  <c r="F21" i="2" s="1"/>
  <c r="I18" i="2" l="1"/>
  <c r="F29" i="5"/>
  <c r="I29" i="5" s="1"/>
</calcChain>
</file>

<file path=xl/sharedStrings.xml><?xml version="1.0" encoding="utf-8"?>
<sst xmlns="http://schemas.openxmlformats.org/spreadsheetml/2006/main" count="573" uniqueCount="277">
  <si>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</si>
  <si>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</si>
  <si>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</si>
  <si>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</si>
  <si>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</si>
  <si>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</si>
  <si>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</si>
  <si>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</si>
  <si>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</si>
  <si>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</si>
  <si>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</si>
  <si>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</si>
  <si>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</si>
  <si>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</si>
  <si>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</si>
  <si>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</si>
  <si>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</si>
  <si>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</si>
  <si>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</si>
  <si>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</si>
  <si>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</si>
  <si>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</si>
  <si>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</si>
  <si>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</si>
  <si>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</si>
  <si>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</si>
  <si>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</si>
  <si>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</si>
  <si>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</si>
  <si>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</si>
  <si>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</si>
  <si>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</si>
  <si>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</si>
  <si>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</si>
  <si>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</si>
  <si>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</si>
  <si>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</si>
  <si>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</si>
  <si>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</si>
  <si>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</si>
  <si>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</si>
  <si>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</si>
  <si>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</si>
  <si>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</si>
  <si>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</si>
  <si>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</si>
  <si>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</si>
  <si>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</si>
  <si>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</si>
  <si>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</si>
  <si>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</si>
  <si>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</si>
  <si>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</si>
  <si>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</si>
  <si>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</si>
  <si>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</si>
  <si>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</si>
  <si>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</si>
  <si>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</si>
  <si>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</si>
  <si>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</si>
  <si>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</si>
  <si>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</si>
  <si>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</si>
  <si>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</si>
  <si>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</si>
  <si>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</si>
  <si>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</si>
  <si>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</si>
  <si>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</si>
  <si>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</si>
  <si>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</si>
  <si>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</si>
  <si>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</si>
  <si>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</si>
  <si>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</si>
  <si>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</si>
  <si>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</si>
  <si>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</si>
  <si>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</si>
  <si>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</si>
  <si>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</si>
  <si>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</si>
  <si>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</si>
  <si>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</si>
  <si>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</si>
  <si>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</si>
  <si>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</si>
  <si>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</si>
  <si>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</si>
  <si>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</si>
  <si>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</si>
  <si>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</si>
  <si>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</si>
  <si>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</si>
  <si>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</si>
  <si>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</si>
  <si>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</si>
  <si>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</si>
  <si>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</si>
  <si>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</si>
  <si>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</si>
  <si>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</si>
  <si>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</si>
  <si>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</si>
  <si>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</si>
  <si>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</si>
  <si>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</si>
  <si>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</si>
  <si>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</si>
  <si>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</si>
  <si>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</si>
  <si>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</si>
  <si>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</si>
  <si>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</si>
  <si>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</si>
  <si>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</si>
  <si>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</si>
  <si>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</si>
  <si>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</si>
  <si>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</si>
  <si>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</si>
  <si>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</si>
  <si>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</si>
  <si>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</si>
  <si>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</si>
  <si>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</si>
  <si>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</si>
  <si>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</si>
  <si>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</si>
  <si>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</si>
  <si>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</si>
  <si>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</si>
  <si>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</si>
  <si>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</si>
  <si>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</si>
  <si>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</si>
  <si>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</si>
  <si>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</si>
  <si>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</si>
  <si>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</si>
  <si>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</si>
  <si>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</si>
  <si>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</si>
  <si>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</si>
  <si>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</si>
  <si>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</si>
  <si>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</si>
  <si>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</si>
  <si>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</si>
  <si>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</si>
  <si>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</si>
  <si>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</si>
  <si>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</si>
  <si>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</si>
  <si>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</si>
  <si>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</si>
  <si>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</si>
  <si>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</si>
  <si>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</si>
  <si>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</si>
  <si>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</si>
  <si>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</si>
  <si>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</si>
  <si>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</si>
  <si>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</si>
  <si>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</si>
  <si>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</si>
  <si>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</si>
  <si>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</si>
  <si>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</si>
  <si>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</si>
  <si>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</si>
  <si>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</si>
  <si>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</si>
  <si>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</si>
  <si>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</si>
  <si>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13</t>
  </si>
  <si>
    <t>89</t>
  </si>
  <si>
    <t>Ostatní konstrukce a práce na trubním vedení</t>
  </si>
  <si>
    <t>899331111R00</t>
  </si>
  <si>
    <t>kus</t>
  </si>
  <si>
    <t>89_</t>
  </si>
  <si>
    <t>8_</t>
  </si>
  <si>
    <t>podél frézovaných spár v asfaltu, ošetření trhlin v ložné vrstvě po odfrézování</t>
  </si>
  <si>
    <t>16</t>
  </si>
  <si>
    <t>Výšková úprava vstupu do 20 cm, zvýšení poklopu uliční vpusti/revizní šachty kanalizace</t>
  </si>
  <si>
    <t>Výšková úprava vstupu do 20 cm, zvýšení poklopu vodovdního uzávěru</t>
  </si>
  <si>
    <t>SO 101</t>
  </si>
  <si>
    <t>0</t>
  </si>
  <si>
    <t>Z99999_</t>
  </si>
  <si>
    <t>SO 101_Z_</t>
  </si>
  <si>
    <t>SO 101_</t>
  </si>
  <si>
    <t>M</t>
  </si>
  <si>
    <t>59217010</t>
  </si>
  <si>
    <t>Obrubník silniční betonový 150x250x1000 mm</t>
  </si>
  <si>
    <t>979999997R00</t>
  </si>
  <si>
    <t>Poplatek za recyklaci směsi suti betonu, štěrku, živice</t>
  </si>
  <si>
    <t>28</t>
  </si>
  <si>
    <t>SO 101_9_</t>
  </si>
  <si>
    <t>917862111R00</t>
  </si>
  <si>
    <t>Osazení stojat. obrub.bet. s opěrou,lože z C 16/20</t>
  </si>
  <si>
    <t>SO 101_1_</t>
  </si>
  <si>
    <t>113106231R00</t>
  </si>
  <si>
    <t>SO 102</t>
  </si>
  <si>
    <t>SO 102_1_</t>
  </si>
  <si>
    <t>SO 102_</t>
  </si>
  <si>
    <t>113202111R00</t>
  </si>
  <si>
    <t>Vytrhání obrub obrubníků silničních</t>
  </si>
  <si>
    <t>Rozebrání dlažeb z betonové dlažby v kamenivu</t>
  </si>
  <si>
    <t xml:space="preserve">Pozn. doprava recyklátu na skládku objednatele do 10 km od místa provádění stavby </t>
  </si>
  <si>
    <t>21</t>
  </si>
  <si>
    <t>Rozebrání dlažeb z kamenné dlažby</t>
  </si>
  <si>
    <t>kamenný dvojřádek, položka obsahuje vyčištění a naložení kamenných kostek a odvoz na skládku objednatele</t>
  </si>
  <si>
    <t>113107630R00</t>
  </si>
  <si>
    <t>Odstranění podkladu nad 50 m2,kam.drcené tl.30 cm</t>
  </si>
  <si>
    <t>577132111R00</t>
  </si>
  <si>
    <t>58</t>
  </si>
  <si>
    <t>Kryty pozemních komunikací, letišť a ploch z betonu a ostatních hmot</t>
  </si>
  <si>
    <t>30</t>
  </si>
  <si>
    <t>596215021R00</t>
  </si>
  <si>
    <t>Kladení beton. zámkové dlažby tl. 6 cm do drtě tl. 4 cm</t>
  </si>
  <si>
    <t>32</t>
  </si>
  <si>
    <t>15</t>
  </si>
  <si>
    <t>33</t>
  </si>
  <si>
    <t>34</t>
  </si>
  <si>
    <t>Frézování živič.krytu nad 500 m2, s překážkami, tl.4 cm</t>
  </si>
  <si>
    <t>Asfaltový koberec mastixový SMA 11 (AKMS) "SMA 11 s PMB 45/80-65" s rozprostředním a se zhutněním v pruhu šířky přes 3 m, po zhutněnní tl. 40 mm</t>
  </si>
  <si>
    <t>564871111RT4</t>
  </si>
  <si>
    <t>567122114R00</t>
  </si>
  <si>
    <t>Podklad z kameniva zpev. cementem SC C8/10 tl.15 cm</t>
  </si>
  <si>
    <t>56_</t>
  </si>
  <si>
    <t>19</t>
  </si>
  <si>
    <t>22</t>
  </si>
  <si>
    <t>Oprava  komunikace a chodníku ul. Mahlerova-východní část</t>
  </si>
  <si>
    <t>15.12.2025</t>
  </si>
  <si>
    <t>stávající chodník</t>
  </si>
  <si>
    <t>plocha nároží</t>
  </si>
  <si>
    <t>obrubníky v nároží + výškové úpravy v trase ulice</t>
  </si>
  <si>
    <t xml:space="preserve">Předláždění chodníku v nároží, dlažba bude použita stávající, přebytečná dlažba bude odvezena na sklad objednatele. </t>
  </si>
  <si>
    <t>831350012RAA</t>
  </si>
  <si>
    <t>Kanalizace z trub PVC hrdlových D 160 mm</t>
  </si>
  <si>
    <t>SO 102_8_</t>
  </si>
  <si>
    <t>Prodloužení přípojek k novým vpustím._x000D_
Položka obsahuje:_x000D_
hloubení rýh, pažení a rozepření rýh včetně přepažování, svislé přemístění, naložení přebytku po zásypu (0,524 m3/m rýhy) na dopravní prostředek, odvoz do 6 km a uložení na skládku, lože pod potrubí ze štěrkopísku, dodávka a montáž potrubí z trub PVC vnějšího průměru dle popisu,  zřízení kanalizační přípojky,  dodávka a montáž PVC tvarovek jednoosých - kolena, obsyp potrubí pískem, zásyp rýhy sypaninou, se zhutněním.</t>
  </si>
  <si>
    <t>895941311RT2</t>
  </si>
  <si>
    <t>Zřízení vpusti uliční z dílců typ UVB - 50</t>
  </si>
  <si>
    <t>včetně dodávky dílců pro uliční vpusti TBV</t>
  </si>
  <si>
    <t>899204111T00</t>
  </si>
  <si>
    <t>Osazení litinové mříže s rámem nad 150 kg</t>
  </si>
  <si>
    <t>Uložení vybouraných betonových obrub, betonu a podkladu z místarozšíření nároží</t>
  </si>
  <si>
    <t>štěrkodrť frakce 0-63 mm podkald chodníku a vozovky v nároží</t>
  </si>
  <si>
    <t>frakce  0-32, podkald vozovky v nároží</t>
  </si>
  <si>
    <t>23</t>
  </si>
  <si>
    <t>59217476</t>
  </si>
  <si>
    <t>Obrubník silniční nájezdový 1000/150/150 šedý</t>
  </si>
  <si>
    <t>Z_</t>
  </si>
  <si>
    <t>24</t>
  </si>
  <si>
    <t>59217480</t>
  </si>
  <si>
    <t>Obrubník silniční přechodový L 1000/150/150-250</t>
  </si>
  <si>
    <t>25</t>
  </si>
  <si>
    <t>59217481</t>
  </si>
  <si>
    <t>Obrubník silniční přechodový P 1000/150/150-250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</si>
  <si>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</si>
  <si>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</si>
  <si>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577142122R00</t>
  </si>
  <si>
    <t>Beton asfalt. ACL 16+ ložný, š. do 3 m, tl. 6 cm</t>
  </si>
  <si>
    <t>včetně nároží v místě nároží vrstva ACL počítáná 2x</t>
  </si>
  <si>
    <t>Podklad ze štěrkodrti po zhutnění tloušťky 20 cm</t>
  </si>
  <si>
    <t>nároží + výškové úpravy v trase ulice</t>
  </si>
  <si>
    <t>14</t>
  </si>
  <si>
    <t>17</t>
  </si>
  <si>
    <t>18</t>
  </si>
  <si>
    <t>26</t>
  </si>
  <si>
    <t>27</t>
  </si>
  <si>
    <t>29</t>
  </si>
  <si>
    <t>31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</si>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</sst>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61"/>
      <name val="Arial"/>
      <family val="2"/>
      <charset val="238"/>
    </font>
    <font>
      <b/>
      <sz val="7"/>
      <color indexed="8"/>
      <name val="Arial"/>
      <family val="2"/>
      <charset val="238"/>
    </font>
    <font>
      <sz val="10"/>
      <color indexed="61"/>
      <name val="Arial"/>
      <charset val="238"/>
    </font>
    <font>
      <sz val="10"/>
      <color indexed="8"/>
      <name val="Arial"/>
      <charset val="238"/>
    </font>
    <font>
      <b/>
      <sz val="10"/>
      <color indexed="56"/>
      <name val="Arial"/>
      <charset val="238"/>
    </font>
    <font>
      <i/>
      <sz val="10"/>
      <color indexed="58"/>
      <name val="Arial"/>
      <charset val="238"/>
    </font>
    <font>
      <i/>
      <sz val="10"/>
      <color indexed="59"/>
      <name val="Arial"/>
      <charset val="238"/>
    </font>
    <font>
      <i/>
      <sz val="10"/>
      <color indexed="60"/>
      <name val="Arial"/>
      <charset val="238"/>
    </font>
    <font>
      <sz val="10"/>
      <color indexed="62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  <xf numFmtId="0" fontId="1" fillId="0" borderId="0"/>
  </cellStyleXfs>
  <cellXfs count="271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3" fillId="2" borderId="3" xfId="0" applyNumberFormat="1" applyFont="1" applyFill="1" applyBorder="1" applyAlignment="1" applyProtection="1">
      <alignment horizontal="left" vertical="center"/>
    </xf>
    <xf numFmtId="49" fontId="24" fillId="2" borderId="0" xfId="0" applyNumberFormat="1" applyFont="1" applyFill="1" applyBorder="1" applyAlignment="1" applyProtection="1">
      <alignment horizontal="left" vertical="center"/>
    </xf>
    <xf numFmtId="49" fontId="23" fillId="2" borderId="0" xfId="0" applyNumberFormat="1" applyFont="1" applyFill="1" applyBorder="1" applyAlignment="1" applyProtection="1">
      <alignment horizontal="left" vertical="center"/>
    </xf>
    <xf numFmtId="4" fontId="24" fillId="2" borderId="0" xfId="0" applyNumberFormat="1" applyFont="1" applyFill="1" applyBorder="1" applyAlignment="1" applyProtection="1">
      <alignment horizontal="right" vertical="center"/>
    </xf>
    <xf numFmtId="49" fontId="24" fillId="2" borderId="0" xfId="0" applyNumberFormat="1" applyFont="1" applyFill="1" applyBorder="1" applyAlignment="1" applyProtection="1">
      <alignment horizontal="right" vertical="center"/>
    </xf>
    <xf numFmtId="0" fontId="25" fillId="0" borderId="3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49" fontId="26" fillId="0" borderId="3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Border="1" applyAlignment="1" applyProtection="1">
      <alignment horizontal="left" vertical="center"/>
    </xf>
    <xf numFmtId="4" fontId="28" fillId="0" borderId="0" xfId="0" applyNumberFormat="1" applyFont="1" applyFill="1" applyBorder="1" applyAlignment="1" applyProtection="1">
      <alignment horizontal="right" vertical="center"/>
    </xf>
    <xf numFmtId="4" fontId="25" fillId="0" borderId="0" xfId="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Fill="1" applyBorder="1" applyAlignment="1" applyProtection="1">
      <alignment horizontal="right" vertical="center"/>
    </xf>
    <xf numFmtId="49" fontId="25" fillId="0" borderId="0" xfId="0" applyNumberFormat="1" applyFont="1" applyFill="1" applyBorder="1" applyAlignment="1" applyProtection="1">
      <alignment horizontal="right" vertical="center"/>
    </xf>
    <xf numFmtId="49" fontId="29" fillId="0" borderId="0" xfId="0" applyNumberFormat="1" applyFont="1" applyFill="1" applyBorder="1" applyAlignment="1" applyProtection="1">
      <alignment horizontal="left" vertical="center"/>
    </xf>
    <xf numFmtId="4" fontId="29" fillId="0" borderId="0" xfId="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horizontal="right" vertical="center"/>
    </xf>
    <xf numFmtId="4" fontId="27" fillId="0" borderId="0" xfId="0" applyNumberFormat="1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right" vertical="center"/>
    </xf>
    <xf numFmtId="49" fontId="27" fillId="0" borderId="3" xfId="0" applyNumberFormat="1" applyFont="1" applyFill="1" applyBorder="1" applyAlignment="1" applyProtection="1">
      <alignment horizontal="left" vertical="center"/>
    </xf>
    <xf numFmtId="49" fontId="30" fillId="0" borderId="0" xfId="0" applyNumberFormat="1" applyFont="1" applyFill="1" applyBorder="1" applyAlignment="1" applyProtection="1">
      <alignment horizontal="right" vertical="top"/>
    </xf>
    <xf numFmtId="4" fontId="8" fillId="2" borderId="24" xfId="0" applyNumberFormat="1" applyFont="1" applyFill="1" applyBorder="1" applyAlignment="1" applyProtection="1">
      <alignment horizontal="right" vertical="center"/>
    </xf>
    <xf numFmtId="4" fontId="27" fillId="0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vertical="top"/>
    </xf>
    <xf numFmtId="4" fontId="6" fillId="5" borderId="48" xfId="0" applyNumberFormat="1" applyFont="1" applyFill="1" applyBorder="1" applyAlignment="1" applyProtection="1">
      <alignment horizontal="right" vertical="center"/>
    </xf>
    <xf numFmtId="0" fontId="1" fillId="5" borderId="49" xfId="1" applyNumberFormat="1" applyFont="1" applyFill="1" applyBorder="1" applyAlignment="1" applyProtection="1"/>
    <xf numFmtId="4" fontId="24" fillId="2" borderId="22" xfId="0" applyNumberFormat="1" applyFont="1" applyFill="1" applyBorder="1" applyAlignment="1" applyProtection="1">
      <alignment horizontal="right" vertical="center"/>
    </xf>
    <xf numFmtId="4" fontId="28" fillId="0" borderId="22" xfId="0" applyNumberFormat="1" applyFont="1" applyFill="1" applyBorder="1" applyAlignment="1" applyProtection="1">
      <alignment horizontal="right" vertical="center"/>
    </xf>
    <xf numFmtId="0" fontId="25" fillId="0" borderId="22" xfId="0" applyFont="1" applyBorder="1" applyAlignment="1">
      <alignment vertical="center"/>
    </xf>
    <xf numFmtId="0" fontId="30" fillId="0" borderId="22" xfId="0" applyNumberFormat="1" applyFont="1" applyFill="1" applyBorder="1" applyAlignment="1" applyProtection="1">
      <alignment vertical="top"/>
    </xf>
    <xf numFmtId="4" fontId="2" fillId="4" borderId="49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top" wrapText="1"/>
    </xf>
    <xf numFmtId="49" fontId="12" fillId="0" borderId="0" xfId="0" applyNumberFormat="1" applyFont="1" applyFill="1" applyBorder="1" applyAlignment="1" applyProtection="1">
      <alignment horizontal="left" vertical="center" wrapText="1"/>
    </xf>
    <xf numFmtId="49" fontId="6" fillId="0" borderId="0" xfId="4" applyNumberFormat="1" applyFont="1" applyFill="1" applyBorder="1" applyAlignment="1" applyProtection="1">
      <alignment horizontal="left" vertical="center"/>
    </xf>
    <xf numFmtId="4" fontId="6" fillId="0" borderId="0" xfId="4" applyNumberFormat="1" applyFont="1" applyFill="1" applyBorder="1" applyAlignment="1" applyProtection="1">
      <alignment horizontal="right" vertical="center"/>
    </xf>
    <xf numFmtId="49" fontId="32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6" fillId="0" borderId="3" xfId="4" applyNumberFormat="1" applyFont="1" applyFill="1" applyBorder="1" applyAlignment="1" applyProtection="1">
      <alignment horizontal="left" vertical="center"/>
    </xf>
    <xf numFmtId="0" fontId="2" fillId="0" borderId="3" xfId="4" applyNumberFormat="1" applyFont="1" applyFill="1" applyBorder="1" applyAlignment="1" applyProtection="1">
      <alignment vertical="center"/>
    </xf>
    <xf numFmtId="0" fontId="2" fillId="0" borderId="0" xfId="4" applyFont="1" applyAlignment="1">
      <alignment vertical="center"/>
    </xf>
    <xf numFmtId="4" fontId="2" fillId="0" borderId="0" xfId="4" applyNumberFormat="1" applyFont="1" applyFill="1" applyBorder="1" applyAlignment="1" applyProtection="1">
      <alignment horizontal="right" vertical="center"/>
    </xf>
    <xf numFmtId="49" fontId="8" fillId="2" borderId="0" xfId="4" applyNumberFormat="1" applyFont="1" applyFill="1" applyBorder="1" applyAlignment="1" applyProtection="1">
      <alignment horizontal="right" vertical="center"/>
    </xf>
    <xf numFmtId="49" fontId="6" fillId="0" borderId="0" xfId="4" applyNumberFormat="1" applyFont="1" applyFill="1" applyBorder="1" applyAlignment="1" applyProtection="1">
      <alignment horizontal="right" vertical="center"/>
    </xf>
    <xf numFmtId="49" fontId="2" fillId="0" borderId="0" xfId="4" applyNumberFormat="1" applyFont="1" applyFill="1" applyBorder="1" applyAlignment="1" applyProtection="1">
      <alignment horizontal="right" vertical="center"/>
    </xf>
    <xf numFmtId="49" fontId="10" fillId="0" borderId="0" xfId="4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34" fillId="0" borderId="3" xfId="0" applyNumberFormat="1" applyFont="1" applyFill="1" applyBorder="1" applyAlignment="1" applyProtection="1">
      <alignment horizontal="left" vertical="center"/>
    </xf>
    <xf numFmtId="49" fontId="34" fillId="0" borderId="0" xfId="0" applyNumberFormat="1" applyFont="1" applyFill="1" applyBorder="1" applyAlignment="1" applyProtection="1">
      <alignment horizontal="left" vertical="center"/>
    </xf>
    <xf numFmtId="4" fontId="34" fillId="0" borderId="0" xfId="0" applyNumberFormat="1" applyFont="1" applyFill="1" applyBorder="1" applyAlignment="1" applyProtection="1">
      <alignment horizontal="right" vertical="center"/>
    </xf>
    <xf numFmtId="0" fontId="35" fillId="0" borderId="3" xfId="0" applyNumberFormat="1" applyFont="1" applyFill="1" applyBorder="1" applyAlignment="1" applyProtection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Fill="1" applyBorder="1" applyAlignment="1" applyProtection="1">
      <alignment horizontal="right" vertical="center"/>
    </xf>
    <xf numFmtId="49" fontId="36" fillId="2" borderId="0" xfId="0" applyNumberFormat="1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Fill="1" applyBorder="1" applyAlignment="1" applyProtection="1">
      <alignment horizontal="right" vertical="top"/>
    </xf>
    <xf numFmtId="49" fontId="39" fillId="0" borderId="0" xfId="0" applyNumberFormat="1" applyFont="1" applyFill="1" applyBorder="1" applyAlignment="1" applyProtection="1">
      <alignment horizontal="right" vertical="top"/>
    </xf>
    <xf numFmtId="0" fontId="39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>
      <alignment vertical="center"/>
    </xf>
    <xf numFmtId="49" fontId="40" fillId="0" borderId="0" xfId="0" applyNumberFormat="1" applyFont="1" applyFill="1" applyBorder="1" applyAlignment="1" applyProtection="1">
      <alignment horizontal="left" vertical="center"/>
    </xf>
    <xf numFmtId="4" fontId="40" fillId="0" borderId="0" xfId="0" applyNumberFormat="1" applyFont="1" applyFill="1" applyBorder="1" applyAlignment="1" applyProtection="1">
      <alignment horizontal="right" vertical="center"/>
    </xf>
    <xf numFmtId="49" fontId="40" fillId="0" borderId="0" xfId="0" applyNumberFormat="1" applyFont="1" applyFill="1" applyBorder="1" applyAlignment="1" applyProtection="1">
      <alignment horizontal="right" vertical="center"/>
    </xf>
    <xf numFmtId="0" fontId="9" fillId="0" borderId="22" xfId="0" applyNumberFormat="1" applyFont="1" applyFill="1" applyBorder="1" applyAlignment="1" applyProtection="1">
      <alignment vertical="top" wrapText="1"/>
    </xf>
    <xf numFmtId="0" fontId="38" fillId="0" borderId="0" xfId="0" applyNumberFormat="1" applyFont="1" applyFill="1" applyBorder="1" applyAlignment="1" applyProtection="1">
      <alignment vertical="center"/>
    </xf>
    <xf numFmtId="0" fontId="38" fillId="0" borderId="22" xfId="0" applyNumberFormat="1" applyFont="1" applyFill="1" applyBorder="1" applyAlignment="1" applyProtection="1">
      <alignment vertical="center"/>
    </xf>
    <xf numFmtId="4" fontId="40" fillId="0" borderId="22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4" fillId="2" borderId="0" xfId="0" applyNumberFormat="1" applyFont="1" applyFill="1" applyBorder="1" applyAlignment="1" applyProtection="1">
      <alignment horizontal="left" vertical="center"/>
    </xf>
    <xf numFmtId="0" fontId="24" fillId="2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39" fillId="0" borderId="0" xfId="0" applyNumberFormat="1" applyFont="1" applyFill="1" applyBorder="1" applyAlignment="1" applyProtection="1">
      <alignment horizontal="left" vertical="top" wrapText="1"/>
    </xf>
    <xf numFmtId="0" fontId="39" fillId="0" borderId="22" xfId="0" applyNumberFormat="1" applyFont="1" applyFill="1" applyBorder="1" applyAlignment="1" applyProtection="1">
      <alignment horizontal="left" vertical="top" wrapText="1"/>
    </xf>
    <xf numFmtId="0" fontId="11" fillId="0" borderId="0" xfId="4" applyNumberFormat="1" applyFont="1" applyFill="1" applyBorder="1" applyAlignment="1" applyProtection="1">
      <alignment horizontal="left" vertical="center" wrapText="1"/>
    </xf>
    <xf numFmtId="0" fontId="11" fillId="0" borderId="0" xfId="4" applyNumberFormat="1" applyFont="1" applyFill="1" applyBorder="1" applyAlignment="1" applyProtection="1">
      <alignment horizontal="left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left" vertical="center" wrapText="1"/>
    </xf>
    <xf numFmtId="0" fontId="33" fillId="0" borderId="9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27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NumberFormat="1" applyFont="1" applyFill="1" applyBorder="1" applyAlignment="1" applyProtection="1">
      <alignment vertical="top" wrapText="1"/>
      <protection locked="0"/>
    </xf>
    <xf numFmtId="4" fontId="6" fillId="0" borderId="0" xfId="4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34" fillId="0" borderId="0" xfId="0" applyNumberFormat="1" applyFont="1" applyFill="1" applyBorder="1" applyAlignment="1" applyProtection="1">
      <alignment horizontal="right" vertical="center"/>
      <protection locked="0"/>
    </xf>
    <xf numFmtId="0" fontId="38" fillId="0" borderId="0" xfId="0" applyNumberFormat="1" applyFont="1" applyFill="1" applyBorder="1" applyAlignment="1" applyProtection="1">
      <alignment vertical="center"/>
      <protection locked="0"/>
    </xf>
    <xf numFmtId="4" fontId="40" fillId="0" borderId="0" xfId="0" applyNumberFormat="1" applyFont="1" applyFill="1" applyBorder="1" applyAlignment="1" applyProtection="1">
      <alignment horizontal="right" vertical="center"/>
      <protection locked="0"/>
    </xf>
    <xf numFmtId="4" fontId="28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4">
    <cellStyle name="Chybně" xfId="2"/>
    <cellStyle name="Normální" xfId="0" builtinId="0"/>
    <cellStyle name="Normální 2" xfId="3"/>
    <cellStyle name="Normální_Stavební rozpoče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01"/>
  <sheetViews>
    <sheetView tabSelected="1" zoomScaleNormal="100" workbookViewId="0">
      <pane ySplit="11" topLeftCell="A96" activePane="bottomLeft" state="frozenSplit"/>
      <selection pane="bottomLeft" activeCell="D14" sqref="D14:L14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63" x14ac:dyDescent="0.25">
      <c r="A2" s="196" t="s">
        <v>1</v>
      </c>
      <c r="B2" s="197"/>
      <c r="C2" s="197"/>
      <c r="D2" s="200" t="s">
        <v>234</v>
      </c>
      <c r="E2" s="202" t="s">
        <v>67</v>
      </c>
      <c r="F2" s="197"/>
      <c r="G2" s="202" t="s">
        <v>6</v>
      </c>
      <c r="H2" s="203" t="s">
        <v>79</v>
      </c>
      <c r="I2" s="203" t="s">
        <v>86</v>
      </c>
      <c r="J2" s="197"/>
      <c r="K2" s="197"/>
      <c r="L2" s="197"/>
      <c r="M2" s="5"/>
    </row>
    <row r="3" spans="1:63" x14ac:dyDescent="0.25">
      <c r="A3" s="198"/>
      <c r="B3" s="199"/>
      <c r="C3" s="199"/>
      <c r="D3" s="201"/>
      <c r="E3" s="199"/>
      <c r="F3" s="199"/>
      <c r="G3" s="199"/>
      <c r="H3" s="199"/>
      <c r="I3" s="199"/>
      <c r="J3" s="199"/>
      <c r="K3" s="199"/>
      <c r="L3" s="199"/>
      <c r="M3" s="5"/>
    </row>
    <row r="4" spans="1:63" x14ac:dyDescent="0.25">
      <c r="A4" s="205" t="s">
        <v>2</v>
      </c>
      <c r="B4" s="199"/>
      <c r="C4" s="199"/>
      <c r="D4" s="204" t="s">
        <v>6</v>
      </c>
      <c r="E4" s="206" t="s">
        <v>68</v>
      </c>
      <c r="F4" s="199"/>
      <c r="G4" s="206" t="s">
        <v>6</v>
      </c>
      <c r="H4" s="204" t="s">
        <v>80</v>
      </c>
      <c r="I4" s="207" t="s">
        <v>87</v>
      </c>
      <c r="J4" s="199"/>
      <c r="K4" s="199"/>
      <c r="L4" s="208"/>
      <c r="M4" s="5"/>
    </row>
    <row r="5" spans="1:63" x14ac:dyDescent="0.25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208"/>
      <c r="M5" s="5"/>
    </row>
    <row r="6" spans="1:63" x14ac:dyDescent="0.25">
      <c r="A6" s="205" t="s">
        <v>3</v>
      </c>
      <c r="B6" s="199"/>
      <c r="C6" s="199"/>
      <c r="D6" s="204" t="s">
        <v>36</v>
      </c>
      <c r="E6" s="206" t="s">
        <v>69</v>
      </c>
      <c r="F6" s="199"/>
      <c r="G6" s="206" t="s">
        <v>6</v>
      </c>
      <c r="H6" s="204" t="s">
        <v>81</v>
      </c>
      <c r="I6" s="204" t="s">
        <v>88</v>
      </c>
      <c r="J6" s="199"/>
      <c r="K6" s="199"/>
      <c r="L6" s="199"/>
      <c r="M6" s="5"/>
    </row>
    <row r="7" spans="1:63" x14ac:dyDescent="0.25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5"/>
    </row>
    <row r="8" spans="1:63" x14ac:dyDescent="0.25">
      <c r="A8" s="205" t="s">
        <v>4</v>
      </c>
      <c r="B8" s="199"/>
      <c r="C8" s="199"/>
      <c r="D8" s="204" t="s">
        <v>6</v>
      </c>
      <c r="E8" s="206" t="s">
        <v>70</v>
      </c>
      <c r="F8" s="199"/>
      <c r="G8" s="206" t="s">
        <v>235</v>
      </c>
      <c r="H8" s="204" t="s">
        <v>82</v>
      </c>
      <c r="I8" s="204" t="s">
        <v>172</v>
      </c>
      <c r="J8" s="199"/>
      <c r="K8" s="199"/>
      <c r="L8" s="199"/>
      <c r="M8" s="5"/>
    </row>
    <row r="9" spans="1:63" ht="13.8" thickBot="1" x14ac:dyDescent="0.3">
      <c r="A9" s="212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5"/>
    </row>
    <row r="10" spans="1:63" x14ac:dyDescent="0.25">
      <c r="A10" s="1" t="s">
        <v>5</v>
      </c>
      <c r="B10" s="10" t="s">
        <v>20</v>
      </c>
      <c r="C10" s="10" t="s">
        <v>21</v>
      </c>
      <c r="D10" s="99" t="s">
        <v>37</v>
      </c>
      <c r="E10" s="99" t="s">
        <v>71</v>
      </c>
      <c r="F10" s="100" t="s">
        <v>76</v>
      </c>
      <c r="G10" s="101" t="s">
        <v>77</v>
      </c>
      <c r="H10" s="214" t="s">
        <v>83</v>
      </c>
      <c r="I10" s="215"/>
      <c r="J10" s="216"/>
      <c r="K10" s="217" t="s">
        <v>91</v>
      </c>
      <c r="L10" s="216"/>
      <c r="M10" s="32"/>
      <c r="BJ10" s="30" t="s">
        <v>117</v>
      </c>
      <c r="BK10" s="36" t="s">
        <v>119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25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144">
        <f>SUM(L13:L25)</f>
        <v>0</v>
      </c>
      <c r="M12" s="72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259">
        <v>0</v>
      </c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94">
        <f>F13*K13</f>
        <v>0</v>
      </c>
      <c r="M13" s="72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25">
      <c r="A14" s="5"/>
      <c r="C14" s="16" t="s">
        <v>18</v>
      </c>
      <c r="D14" s="209" t="s">
        <v>176</v>
      </c>
      <c r="E14" s="210"/>
      <c r="F14" s="210"/>
      <c r="G14" s="210"/>
      <c r="H14" s="210"/>
      <c r="I14" s="210"/>
      <c r="J14" s="210"/>
      <c r="K14" s="210"/>
      <c r="L14" s="211"/>
      <c r="M14" s="72"/>
    </row>
    <row r="15" spans="1:63" x14ac:dyDescent="0.25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259">
        <v>0</v>
      </c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94">
        <f>F15*K15</f>
        <v>0</v>
      </c>
      <c r="M15" s="72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x14ac:dyDescent="0.25">
      <c r="A16" s="5"/>
      <c r="C16" s="16" t="s">
        <v>18</v>
      </c>
      <c r="D16" s="209" t="s">
        <v>42</v>
      </c>
      <c r="E16" s="210"/>
      <c r="F16" s="210"/>
      <c r="G16" s="210"/>
      <c r="H16" s="210"/>
      <c r="I16" s="210"/>
      <c r="J16" s="210"/>
      <c r="K16" s="210"/>
      <c r="L16" s="211"/>
      <c r="M16" s="72"/>
    </row>
    <row r="17" spans="1:63" x14ac:dyDescent="0.25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259">
        <v>0</v>
      </c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94">
        <f>F17*K17</f>
        <v>0</v>
      </c>
      <c r="M17" s="72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25">
      <c r="A18" s="5"/>
      <c r="C18" s="16" t="s">
        <v>18</v>
      </c>
      <c r="D18" s="209" t="s">
        <v>44</v>
      </c>
      <c r="E18" s="210"/>
      <c r="F18" s="210"/>
      <c r="G18" s="210"/>
      <c r="H18" s="210"/>
      <c r="I18" s="210"/>
      <c r="J18" s="210"/>
      <c r="K18" s="210"/>
      <c r="L18" s="211"/>
      <c r="M18" s="72"/>
    </row>
    <row r="19" spans="1:63" x14ac:dyDescent="0.25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259">
        <v>0</v>
      </c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94">
        <f>F19*K19</f>
        <v>0</v>
      </c>
      <c r="M19" s="72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x14ac:dyDescent="0.25">
      <c r="A20" s="5"/>
      <c r="C20" s="16" t="s">
        <v>18</v>
      </c>
      <c r="D20" s="209" t="s">
        <v>46</v>
      </c>
      <c r="E20" s="210"/>
      <c r="F20" s="210"/>
      <c r="G20" s="210"/>
      <c r="H20" s="210"/>
      <c r="I20" s="210"/>
      <c r="J20" s="210"/>
      <c r="K20" s="210"/>
      <c r="L20" s="211"/>
      <c r="M20" s="72"/>
    </row>
    <row r="21" spans="1:63" x14ac:dyDescent="0.25">
      <c r="A21" s="84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260">
        <v>0</v>
      </c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154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x14ac:dyDescent="0.25">
      <c r="A22" s="5"/>
      <c r="C22" s="16" t="s">
        <v>18</v>
      </c>
      <c r="D22" s="209" t="s">
        <v>48</v>
      </c>
      <c r="E22" s="210"/>
      <c r="F22" s="210"/>
      <c r="G22" s="210"/>
      <c r="H22" s="210"/>
      <c r="I22" s="210"/>
      <c r="J22" s="210"/>
      <c r="K22" s="210"/>
      <c r="L22" s="211"/>
      <c r="M22" s="72"/>
    </row>
    <row r="23" spans="1:63" x14ac:dyDescent="0.25">
      <c r="A23" s="85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259">
        <v>0</v>
      </c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94">
        <f>F23*K23</f>
        <v>0</v>
      </c>
      <c r="M23" s="72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25">
      <c r="A24" s="5"/>
      <c r="C24" s="16" t="s">
        <v>18</v>
      </c>
      <c r="D24" s="209" t="s">
        <v>50</v>
      </c>
      <c r="E24" s="210"/>
      <c r="F24" s="210"/>
      <c r="G24" s="210"/>
      <c r="H24" s="210"/>
      <c r="I24" s="210"/>
      <c r="J24" s="210"/>
      <c r="K24" s="210"/>
      <c r="L24" s="211"/>
      <c r="M24" s="72"/>
    </row>
    <row r="25" spans="1:63" x14ac:dyDescent="0.25">
      <c r="A25" s="85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259">
        <v>0</v>
      </c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94">
        <f>F25*K25</f>
        <v>0</v>
      </c>
      <c r="M25" s="72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x14ac:dyDescent="0.25">
      <c r="A26" s="5"/>
      <c r="C26" s="16" t="s">
        <v>18</v>
      </c>
      <c r="D26" s="209" t="s">
        <v>52</v>
      </c>
      <c r="E26" s="210"/>
      <c r="F26" s="210"/>
      <c r="G26" s="210"/>
      <c r="H26" s="210"/>
      <c r="I26" s="210"/>
      <c r="J26" s="210"/>
      <c r="K26" s="210"/>
      <c r="L26" s="211"/>
      <c r="M26" s="72"/>
    </row>
    <row r="27" spans="1:63" x14ac:dyDescent="0.25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97">
        <f>SUM(L28:L28)</f>
        <v>0</v>
      </c>
      <c r="M27" s="72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6" t="s">
        <v>14</v>
      </c>
      <c r="B28" s="20"/>
      <c r="C28" s="20" t="s">
        <v>25</v>
      </c>
      <c r="D28" s="91" t="s">
        <v>54</v>
      </c>
      <c r="E28" s="91" t="s">
        <v>72</v>
      </c>
      <c r="F28" s="33">
        <v>1</v>
      </c>
      <c r="G28" s="261">
        <v>0</v>
      </c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x14ac:dyDescent="0.25">
      <c r="A29" s="5"/>
      <c r="C29" s="16" t="s">
        <v>18</v>
      </c>
      <c r="D29" s="209" t="s">
        <v>55</v>
      </c>
      <c r="E29" s="210"/>
      <c r="F29" s="210"/>
      <c r="G29" s="210"/>
      <c r="H29" s="210"/>
      <c r="I29" s="210"/>
      <c r="J29" s="210"/>
      <c r="K29" s="210"/>
      <c r="L29" s="211"/>
      <c r="M29" s="72"/>
    </row>
    <row r="30" spans="1:63" x14ac:dyDescent="0.25">
      <c r="A30" s="6"/>
      <c r="B30" s="14"/>
      <c r="C30" s="14" t="s">
        <v>17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SUM(H31:H42)</f>
        <v>0</v>
      </c>
      <c r="I30" s="38">
        <f>SUM(I31:I42)</f>
        <v>0</v>
      </c>
      <c r="J30" s="38">
        <f>SUM(J31:J42)</f>
        <v>0</v>
      </c>
      <c r="K30" s="30"/>
      <c r="L30" s="97">
        <f>SUM(L31:L42)</f>
        <v>196.98999999999998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25">
      <c r="A31" s="85" t="s">
        <v>15</v>
      </c>
      <c r="B31" s="13"/>
      <c r="C31" s="92" t="s">
        <v>175</v>
      </c>
      <c r="D31" s="92" t="s">
        <v>226</v>
      </c>
      <c r="E31" s="13" t="s">
        <v>73</v>
      </c>
      <c r="F31" s="81">
        <v>1442</v>
      </c>
      <c r="G31" s="259">
        <v>0</v>
      </c>
      <c r="H31" s="81">
        <f>F31*AN31</f>
        <v>0</v>
      </c>
      <c r="I31" s="81">
        <f>F31*AO31</f>
        <v>0</v>
      </c>
      <c r="J31" s="81">
        <f>F31*G31</f>
        <v>0</v>
      </c>
      <c r="K31" s="81">
        <v>0.11</v>
      </c>
      <c r="L31" s="94">
        <f>F31*K31</f>
        <v>158.62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158.62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ht="26.4" x14ac:dyDescent="0.25">
      <c r="A32" s="5"/>
      <c r="C32" s="80" t="s">
        <v>18</v>
      </c>
      <c r="D32" s="155" t="s">
        <v>174</v>
      </c>
      <c r="E32" s="155"/>
      <c r="F32" s="155"/>
      <c r="G32" s="155"/>
      <c r="H32" s="155"/>
      <c r="I32" s="155"/>
      <c r="J32" s="155"/>
      <c r="K32" s="155"/>
      <c r="L32" s="191"/>
      <c r="M32" s="72"/>
    </row>
    <row r="33" spans="1:64" s="125" customFormat="1" x14ac:dyDescent="0.25">
      <c r="A33" s="142" t="s">
        <v>16</v>
      </c>
      <c r="B33" s="127"/>
      <c r="C33" s="127" t="s">
        <v>203</v>
      </c>
      <c r="D33" s="140" t="s">
        <v>209</v>
      </c>
      <c r="E33" s="127" t="s">
        <v>73</v>
      </c>
      <c r="F33" s="139">
        <v>30</v>
      </c>
      <c r="G33" s="262">
        <v>0</v>
      </c>
      <c r="H33" s="139">
        <v>0</v>
      </c>
      <c r="I33" s="139">
        <f>F33*G33</f>
        <v>0</v>
      </c>
      <c r="J33" s="139">
        <f>F33*G33</f>
        <v>0</v>
      </c>
      <c r="K33" s="139">
        <v>0.22500000000000001</v>
      </c>
      <c r="L33" s="145">
        <f>F33*K33</f>
        <v>6.75</v>
      </c>
      <c r="M33" s="139"/>
      <c r="N33" s="141"/>
      <c r="O33" s="137"/>
      <c r="Z33" s="130">
        <f>IF(AQ33="5",BJ33,0)</f>
        <v>0</v>
      </c>
      <c r="AB33" s="130">
        <f>IF(AQ33="1",BH33,0)</f>
        <v>0</v>
      </c>
      <c r="AC33" s="130">
        <f>IF(AQ33="1",BI33,0)</f>
        <v>0</v>
      </c>
      <c r="AD33" s="130">
        <f>IF(AQ33="7",BH33,0)</f>
        <v>0</v>
      </c>
      <c r="AE33" s="130">
        <f>IF(AQ33="7",BI33,0)</f>
        <v>0</v>
      </c>
      <c r="AF33" s="130">
        <f>IF(AQ33="2",BH33,0)</f>
        <v>0</v>
      </c>
      <c r="AG33" s="130">
        <f>IF(AQ33="2",BI33,0)</f>
        <v>0</v>
      </c>
      <c r="AH33" s="130">
        <f>IF(AQ33="0",BJ33,0)</f>
        <v>0</v>
      </c>
      <c r="AI33" s="123" t="s">
        <v>188</v>
      </c>
      <c r="AJ33" s="139">
        <f>IF(AN33=0,K33,0)</f>
        <v>0</v>
      </c>
      <c r="AK33" s="139">
        <f>IF(AN33=15,K33,0)</f>
        <v>0</v>
      </c>
      <c r="AL33" s="139">
        <f>IF(AN33=21,K33,0)</f>
        <v>0.22500000000000001</v>
      </c>
      <c r="AN33" s="130">
        <v>21</v>
      </c>
      <c r="AO33" s="130">
        <f>H33*0</f>
        <v>0</v>
      </c>
      <c r="AP33" s="130">
        <f>H33*(1-0)</f>
        <v>0</v>
      </c>
      <c r="AQ33" s="141" t="s">
        <v>7</v>
      </c>
      <c r="AV33" s="130">
        <f>AW33+AX33</f>
        <v>0</v>
      </c>
      <c r="AW33" s="130">
        <f>G33*AO33</f>
        <v>0</v>
      </c>
      <c r="AX33" s="130">
        <f>G33*AP33</f>
        <v>0</v>
      </c>
      <c r="AY33" s="132" t="s">
        <v>104</v>
      </c>
      <c r="AZ33" s="132" t="s">
        <v>202</v>
      </c>
      <c r="BA33" s="123" t="s">
        <v>192</v>
      </c>
      <c r="BC33" s="130">
        <f>AW33+AX33</f>
        <v>0</v>
      </c>
      <c r="BD33" s="130">
        <f>H33/(100-BE33)*100</f>
        <v>0</v>
      </c>
      <c r="BE33" s="130">
        <v>0</v>
      </c>
      <c r="BF33" s="130">
        <f>M33</f>
        <v>0</v>
      </c>
      <c r="BH33" s="139">
        <f>G33*AO33</f>
        <v>0</v>
      </c>
      <c r="BI33" s="139">
        <f>G33*AP33</f>
        <v>0</v>
      </c>
      <c r="BJ33" s="139">
        <f>G33*H33</f>
        <v>0</v>
      </c>
      <c r="BK33" s="139" t="s">
        <v>118</v>
      </c>
      <c r="BL33" s="130">
        <v>11</v>
      </c>
    </row>
    <row r="34" spans="1:64" s="125" customFormat="1" x14ac:dyDescent="0.25">
      <c r="A34" s="124"/>
      <c r="C34" s="143" t="s">
        <v>18</v>
      </c>
      <c r="D34" s="155" t="s">
        <v>236</v>
      </c>
      <c r="E34" s="147"/>
      <c r="F34" s="147"/>
      <c r="G34" s="147"/>
      <c r="H34" s="147"/>
      <c r="I34" s="147"/>
      <c r="J34" s="147"/>
      <c r="K34" s="147"/>
      <c r="L34" s="153"/>
      <c r="M34" s="147"/>
      <c r="N34" s="147"/>
      <c r="O34" s="137"/>
    </row>
    <row r="35" spans="1:64" s="125" customFormat="1" x14ac:dyDescent="0.25">
      <c r="A35" s="4" t="s">
        <v>17</v>
      </c>
      <c r="B35" s="127"/>
      <c r="C35" s="127" t="s">
        <v>203</v>
      </c>
      <c r="D35" s="112" t="s">
        <v>212</v>
      </c>
      <c r="E35" s="127" t="s">
        <v>73</v>
      </c>
      <c r="F35" s="139">
        <v>2</v>
      </c>
      <c r="G35" s="262">
        <v>0</v>
      </c>
      <c r="H35" s="139">
        <v>0</v>
      </c>
      <c r="I35" s="139">
        <f>F35*G35</f>
        <v>0</v>
      </c>
      <c r="J35" s="139">
        <f>F35*G35</f>
        <v>0</v>
      </c>
      <c r="K35" s="139">
        <v>0.22500000000000001</v>
      </c>
      <c r="L35" s="145">
        <f>F35*K35</f>
        <v>0.45</v>
      </c>
      <c r="M35" s="147"/>
      <c r="N35" s="147"/>
      <c r="O35" s="137"/>
    </row>
    <row r="36" spans="1:64" s="125" customFormat="1" ht="39.6" x14ac:dyDescent="0.25">
      <c r="A36" s="124"/>
      <c r="C36" s="143" t="s">
        <v>18</v>
      </c>
      <c r="D36" s="155" t="s">
        <v>213</v>
      </c>
      <c r="E36" s="147"/>
      <c r="F36" s="147"/>
      <c r="G36" s="147"/>
      <c r="H36" s="147"/>
      <c r="I36" s="147"/>
      <c r="J36" s="147"/>
      <c r="K36" s="147"/>
      <c r="L36" s="153"/>
      <c r="M36" s="147"/>
      <c r="N36" s="147"/>
      <c r="O36" s="137"/>
    </row>
    <row r="37" spans="1:64" s="79" customFormat="1" x14ac:dyDescent="0.25">
      <c r="A37" s="172">
        <v>12</v>
      </c>
      <c r="C37" s="92" t="s">
        <v>175</v>
      </c>
      <c r="D37" s="92" t="s">
        <v>262</v>
      </c>
      <c r="E37" s="13" t="s">
        <v>73</v>
      </c>
      <c r="F37" s="81">
        <v>150</v>
      </c>
      <c r="G37" s="259">
        <v>0</v>
      </c>
      <c r="H37" s="81">
        <f>F37*AN37</f>
        <v>0</v>
      </c>
      <c r="I37" s="81">
        <f>J37</f>
        <v>0</v>
      </c>
      <c r="J37" s="81">
        <f>F37*G37</f>
        <v>0</v>
      </c>
      <c r="K37" s="81">
        <v>0.11</v>
      </c>
      <c r="L37" s="94">
        <f>F37*K37</f>
        <v>16.5</v>
      </c>
      <c r="M37" s="72"/>
    </row>
    <row r="38" spans="1:64" s="79" customFormat="1" ht="39.6" x14ac:dyDescent="0.25">
      <c r="A38" s="172"/>
      <c r="C38" s="80" t="s">
        <v>18</v>
      </c>
      <c r="D38" s="155" t="s">
        <v>263</v>
      </c>
      <c r="E38" s="155"/>
      <c r="F38" s="155"/>
      <c r="G38" s="155"/>
      <c r="H38" s="155"/>
      <c r="I38" s="155"/>
      <c r="J38" s="155"/>
      <c r="K38" s="155"/>
      <c r="L38" s="191"/>
      <c r="M38" s="72"/>
    </row>
    <row r="39" spans="1:64" s="125" customFormat="1" x14ac:dyDescent="0.25">
      <c r="A39" s="4" t="s">
        <v>177</v>
      </c>
      <c r="B39" s="127"/>
      <c r="C39" s="127" t="s">
        <v>207</v>
      </c>
      <c r="D39" s="140" t="s">
        <v>208</v>
      </c>
      <c r="E39" s="127" t="s">
        <v>74</v>
      </c>
      <c r="F39" s="139">
        <v>25</v>
      </c>
      <c r="G39" s="262">
        <v>0</v>
      </c>
      <c r="H39" s="139">
        <v>0</v>
      </c>
      <c r="I39" s="139">
        <f>F39*G39</f>
        <v>0</v>
      </c>
      <c r="J39" s="139">
        <f>F39*G39</f>
        <v>0</v>
      </c>
      <c r="K39" s="139">
        <v>0.27</v>
      </c>
      <c r="L39" s="145">
        <f>F39*K39</f>
        <v>6.75</v>
      </c>
      <c r="M39" s="139"/>
      <c r="N39" s="141"/>
      <c r="O39" s="137"/>
      <c r="Z39" s="130">
        <f>IF(AQ39="5",BJ39,0)</f>
        <v>0</v>
      </c>
      <c r="AB39" s="130">
        <f>IF(AQ39="1",BH39,0)</f>
        <v>0</v>
      </c>
      <c r="AC39" s="130">
        <f>IF(AQ39="1",BI39,0)</f>
        <v>0</v>
      </c>
      <c r="AD39" s="130">
        <f>IF(AQ39="7",BH39,0)</f>
        <v>0</v>
      </c>
      <c r="AE39" s="130">
        <f>IF(AQ39="7",BI39,0)</f>
        <v>0</v>
      </c>
      <c r="AF39" s="130">
        <f>IF(AQ39="2",BH39,0)</f>
        <v>0</v>
      </c>
      <c r="AG39" s="130">
        <f>IF(AQ39="2",BI39,0)</f>
        <v>0</v>
      </c>
      <c r="AH39" s="130">
        <f>IF(AQ39="0",BJ39,0)</f>
        <v>0</v>
      </c>
      <c r="AI39" s="123" t="s">
        <v>204</v>
      </c>
      <c r="AJ39" s="139">
        <f>IF(AN39=0,K39,0)</f>
        <v>0</v>
      </c>
      <c r="AK39" s="139">
        <f>IF(AN39=15,K39,0)</f>
        <v>0</v>
      </c>
      <c r="AL39" s="139">
        <f>IF(AN39=21,K39,0)</f>
        <v>0.27</v>
      </c>
      <c r="AN39" s="130">
        <v>21</v>
      </c>
      <c r="AO39" s="130">
        <f>H39*0</f>
        <v>0</v>
      </c>
      <c r="AP39" s="130">
        <f>H39*(1-0)</f>
        <v>0</v>
      </c>
      <c r="AQ39" s="141" t="s">
        <v>7</v>
      </c>
      <c r="AV39" s="130">
        <f>AW39+AX39</f>
        <v>0</v>
      </c>
      <c r="AW39" s="130">
        <f>G39*AO39</f>
        <v>0</v>
      </c>
      <c r="AX39" s="130">
        <f>G39*AP39</f>
        <v>0</v>
      </c>
      <c r="AY39" s="132" t="s">
        <v>104</v>
      </c>
      <c r="AZ39" s="132" t="s">
        <v>205</v>
      </c>
      <c r="BA39" s="123" t="s">
        <v>206</v>
      </c>
      <c r="BC39" s="130">
        <f>AW39+AX39</f>
        <v>0</v>
      </c>
      <c r="BD39" s="130">
        <f>H39/(100-BE39)*100</f>
        <v>0</v>
      </c>
      <c r="BE39" s="130">
        <v>0</v>
      </c>
      <c r="BF39" s="130">
        <f>M39</f>
        <v>0</v>
      </c>
      <c r="BH39" s="139">
        <f>G39*AO39</f>
        <v>0</v>
      </c>
      <c r="BI39" s="139">
        <f>G39*AP39</f>
        <v>0</v>
      </c>
      <c r="BJ39" s="139">
        <f>G39*H39</f>
        <v>0</v>
      </c>
      <c r="BK39" s="139" t="s">
        <v>118</v>
      </c>
      <c r="BL39" s="130">
        <v>11</v>
      </c>
    </row>
    <row r="40" spans="1:64" s="79" customFormat="1" x14ac:dyDescent="0.25">
      <c r="A40" s="5"/>
      <c r="C40" s="143" t="s">
        <v>18</v>
      </c>
      <c r="D40" s="155" t="s">
        <v>238</v>
      </c>
      <c r="E40" s="116"/>
      <c r="F40" s="116"/>
      <c r="G40" s="116"/>
      <c r="H40" s="116"/>
      <c r="I40" s="116"/>
      <c r="J40" s="116"/>
      <c r="K40" s="116"/>
      <c r="L40" s="98"/>
      <c r="M40" s="72"/>
      <c r="N40" s="95"/>
    </row>
    <row r="41" spans="1:64" s="79" customFormat="1" x14ac:dyDescent="0.25">
      <c r="A41" s="4"/>
      <c r="B41" s="127"/>
      <c r="C41" s="127"/>
      <c r="D41" s="112"/>
      <c r="E41" s="127"/>
      <c r="F41" s="139"/>
      <c r="G41" s="139"/>
      <c r="H41" s="139"/>
      <c r="I41" s="139"/>
      <c r="J41" s="139"/>
      <c r="K41" s="139"/>
      <c r="L41" s="145"/>
      <c r="M41" s="72"/>
    </row>
    <row r="42" spans="1:64" s="79" customFormat="1" x14ac:dyDescent="0.25">
      <c r="A42" s="4" t="s">
        <v>269</v>
      </c>
      <c r="B42" s="127"/>
      <c r="C42" s="13" t="s">
        <v>214</v>
      </c>
      <c r="D42" s="13" t="s">
        <v>215</v>
      </c>
      <c r="E42" s="13" t="s">
        <v>73</v>
      </c>
      <c r="F42" s="81">
        <v>12</v>
      </c>
      <c r="G42" s="259">
        <v>0</v>
      </c>
      <c r="H42" s="81">
        <f>F42*AN42</f>
        <v>0</v>
      </c>
      <c r="I42" s="139">
        <f>F42*G42</f>
        <v>0</v>
      </c>
      <c r="J42" s="81">
        <f>F42*G42</f>
        <v>0</v>
      </c>
      <c r="K42" s="81">
        <v>0.66</v>
      </c>
      <c r="L42" s="94">
        <f>F42*K42</f>
        <v>7.92</v>
      </c>
      <c r="M42" s="72"/>
    </row>
    <row r="43" spans="1:64" s="79" customFormat="1" x14ac:dyDescent="0.25">
      <c r="A43" s="4"/>
      <c r="B43" s="127"/>
      <c r="C43" s="143" t="s">
        <v>18</v>
      </c>
      <c r="D43" s="155" t="s">
        <v>237</v>
      </c>
      <c r="E43" s="155"/>
      <c r="F43" s="155"/>
      <c r="G43" s="263"/>
      <c r="H43" s="155"/>
      <c r="I43" s="155"/>
      <c r="J43" s="155"/>
      <c r="K43" s="155"/>
      <c r="L43" s="191"/>
      <c r="M43" s="72"/>
    </row>
    <row r="44" spans="1:64" s="79" customFormat="1" x14ac:dyDescent="0.25">
      <c r="A44" s="5"/>
      <c r="C44" s="80"/>
      <c r="D44" s="207"/>
      <c r="E44" s="227"/>
      <c r="F44" s="227"/>
      <c r="G44" s="227"/>
      <c r="H44" s="227"/>
      <c r="I44" s="227"/>
      <c r="J44" s="227"/>
      <c r="K44" s="227"/>
      <c r="L44" s="227"/>
      <c r="M44" s="72"/>
    </row>
    <row r="45" spans="1:64" s="79" customFormat="1" x14ac:dyDescent="0.25">
      <c r="A45" s="6"/>
      <c r="B45" s="14"/>
      <c r="C45" s="14" t="s">
        <v>27</v>
      </c>
      <c r="D45" s="88" t="s">
        <v>57</v>
      </c>
      <c r="E45" s="22" t="s">
        <v>6</v>
      </c>
      <c r="F45" s="22" t="s">
        <v>6</v>
      </c>
      <c r="G45" s="22" t="s">
        <v>6</v>
      </c>
      <c r="H45" s="38">
        <f>SUM(H46:H51)</f>
        <v>0</v>
      </c>
      <c r="I45" s="38">
        <f>SUM(I46:I51)</f>
        <v>0</v>
      </c>
      <c r="J45" s="38">
        <f>SUM(J46:J51)</f>
        <v>0</v>
      </c>
      <c r="K45" s="30"/>
      <c r="L45" s="97">
        <f>SUM(L46:L51)</f>
        <v>218.04154</v>
      </c>
      <c r="M45" s="72"/>
      <c r="N45" s="83"/>
      <c r="AH45" s="30"/>
      <c r="AR45" s="38">
        <f>SUM(AI46:AI68)</f>
        <v>0</v>
      </c>
      <c r="AS45" s="38">
        <f>SUM(AJ46:AJ68)</f>
        <v>0</v>
      </c>
      <c r="AT45" s="38">
        <f>SUM(AK46:AK68)</f>
        <v>63622.8</v>
      </c>
    </row>
    <row r="46" spans="1:64" s="79" customFormat="1" x14ac:dyDescent="0.25">
      <c r="A46" s="4" t="s">
        <v>223</v>
      </c>
      <c r="B46" s="13"/>
      <c r="C46" s="13" t="s">
        <v>28</v>
      </c>
      <c r="D46" s="13" t="s">
        <v>58</v>
      </c>
      <c r="E46" s="13" t="s">
        <v>73</v>
      </c>
      <c r="F46" s="81">
        <v>1522</v>
      </c>
      <c r="G46" s="259">
        <v>0</v>
      </c>
      <c r="H46" s="81">
        <f>F46*AN46</f>
        <v>0</v>
      </c>
      <c r="I46" s="81">
        <f>F46*AO46</f>
        <v>0</v>
      </c>
      <c r="J46" s="81">
        <f>F46*G46</f>
        <v>0</v>
      </c>
      <c r="K46" s="81">
        <v>3.1E-4</v>
      </c>
      <c r="L46" s="94">
        <f>F46*K46</f>
        <v>0.47182000000000002</v>
      </c>
      <c r="M46" s="72"/>
      <c r="Y46" s="33">
        <f>IF(AP46="5",BI46,0)</f>
        <v>0</v>
      </c>
      <c r="AA46" s="33">
        <f>IF(AP46="1",BG46,0)</f>
        <v>0</v>
      </c>
      <c r="AB46" s="33">
        <f>IF(AP46="1",BH46,0)</f>
        <v>0</v>
      </c>
      <c r="AC46" s="33">
        <f>IF(AP46="7",BG46,0)</f>
        <v>0</v>
      </c>
      <c r="AD46" s="33">
        <f>IF(AP46="7",BH46,0)</f>
        <v>0</v>
      </c>
      <c r="AE46" s="33">
        <f>IF(AP46="2",BG46,0)</f>
        <v>0</v>
      </c>
      <c r="AF46" s="33">
        <f>IF(AP46="2",BH46,0)</f>
        <v>0</v>
      </c>
      <c r="AG46" s="33">
        <f>IF(AP46="0",BI46,0)</f>
        <v>0</v>
      </c>
      <c r="AH46" s="30"/>
      <c r="AI46" s="81">
        <f>IF(AM46=0,J46,0)</f>
        <v>0</v>
      </c>
      <c r="AJ46" s="81">
        <f>IF(AM46=15,J46,0)</f>
        <v>0</v>
      </c>
      <c r="AK46" s="81">
        <f>IF(AM46=21,J46,0)</f>
        <v>0</v>
      </c>
      <c r="AM46" s="33">
        <v>21</v>
      </c>
      <c r="AN46" s="33">
        <f>G46*0.861735602860608</f>
        <v>0</v>
      </c>
      <c r="AO46" s="33">
        <f>G46*(1-0.861735602860608)</f>
        <v>0</v>
      </c>
      <c r="AP46" s="34" t="s">
        <v>7</v>
      </c>
      <c r="AU46" s="33">
        <f>AV46+AW46</f>
        <v>0</v>
      </c>
      <c r="AV46" s="33">
        <f>F46*AN46</f>
        <v>0</v>
      </c>
      <c r="AW46" s="33">
        <f>F46*AO46</f>
        <v>0</v>
      </c>
      <c r="AX46" s="35" t="s">
        <v>105</v>
      </c>
      <c r="AY46" s="35" t="s">
        <v>111</v>
      </c>
      <c r="AZ46" s="30" t="s">
        <v>113</v>
      </c>
      <c r="BB46" s="33">
        <f>AV46+AW46</f>
        <v>0</v>
      </c>
      <c r="BC46" s="33">
        <f>G46/(100-BD46)*100</f>
        <v>0</v>
      </c>
      <c r="BD46" s="33">
        <v>0</v>
      </c>
      <c r="BE46" s="33">
        <f>L46</f>
        <v>0.47182000000000002</v>
      </c>
      <c r="BG46" s="81">
        <f>F46*AN46</f>
        <v>0</v>
      </c>
      <c r="BH46" s="81">
        <f>F46*AO46</f>
        <v>0</v>
      </c>
      <c r="BI46" s="81">
        <f>F46*G46</f>
        <v>0</v>
      </c>
      <c r="BJ46" s="81" t="s">
        <v>118</v>
      </c>
      <c r="BK46" s="33">
        <v>57</v>
      </c>
    </row>
    <row r="47" spans="1:64" x14ac:dyDescent="0.25">
      <c r="A47" s="5"/>
      <c r="C47" s="17" t="s">
        <v>26</v>
      </c>
      <c r="D47" s="155" t="s">
        <v>59</v>
      </c>
      <c r="E47" s="155"/>
      <c r="F47" s="155"/>
      <c r="G47" s="155"/>
      <c r="H47" s="155"/>
      <c r="I47" s="155"/>
      <c r="J47" s="155"/>
      <c r="K47" s="155"/>
      <c r="L47" s="155"/>
      <c r="M47" s="72"/>
    </row>
    <row r="48" spans="1:64" s="79" customFormat="1" x14ac:dyDescent="0.25">
      <c r="A48" s="5"/>
      <c r="C48" s="17"/>
      <c r="D48" s="91"/>
      <c r="E48" s="102"/>
      <c r="F48" s="102"/>
      <c r="G48" s="102"/>
      <c r="H48" s="102"/>
      <c r="I48" s="102"/>
      <c r="J48" s="102"/>
      <c r="K48" s="102"/>
      <c r="L48" s="170"/>
      <c r="M48" s="72"/>
    </row>
    <row r="49" spans="1:64" s="79" customFormat="1" x14ac:dyDescent="0.25">
      <c r="A49" s="4" t="s">
        <v>185</v>
      </c>
      <c r="B49" s="13"/>
      <c r="C49" s="13" t="s">
        <v>264</v>
      </c>
      <c r="D49" s="13" t="s">
        <v>265</v>
      </c>
      <c r="E49" s="13" t="s">
        <v>73</v>
      </c>
      <c r="F49" s="81">
        <v>180</v>
      </c>
      <c r="G49" s="259">
        <v>0</v>
      </c>
      <c r="H49" s="81">
        <f>F49*AN49</f>
        <v>0</v>
      </c>
      <c r="I49" s="81">
        <f>F49*AO49</f>
        <v>0</v>
      </c>
      <c r="J49" s="81">
        <f>F49*G49</f>
        <v>0</v>
      </c>
      <c r="K49" s="81">
        <v>0.17</v>
      </c>
      <c r="L49" s="81">
        <f>F49*K49</f>
        <v>30.6</v>
      </c>
      <c r="M49" s="5"/>
      <c r="Y49" s="33">
        <f>IF(AP49="5",BI49,0)</f>
        <v>0</v>
      </c>
      <c r="AA49" s="33">
        <f>IF(AP49="1",BG49,0)</f>
        <v>0</v>
      </c>
      <c r="AB49" s="33">
        <f>IF(AP49="1",BH49,0)</f>
        <v>0</v>
      </c>
      <c r="AC49" s="33">
        <f>IF(AP49="7",BG49,0)</f>
        <v>0</v>
      </c>
      <c r="AD49" s="33">
        <f>IF(AP49="7",BH49,0)</f>
        <v>0</v>
      </c>
      <c r="AE49" s="33">
        <f>IF(AP49="2",BG49,0)</f>
        <v>0</v>
      </c>
      <c r="AF49" s="33">
        <f>IF(AP49="2",BH49,0)</f>
        <v>0</v>
      </c>
      <c r="AG49" s="33">
        <f>IF(AP49="0",BI49,0)</f>
        <v>0</v>
      </c>
      <c r="AH49" s="30"/>
      <c r="AI49" s="81">
        <f>IF(AM49=0,J49,0)</f>
        <v>0</v>
      </c>
      <c r="AJ49" s="81">
        <f>IF(AM49=15,J49,0)</f>
        <v>0</v>
      </c>
      <c r="AK49" s="81">
        <f>IF(AM49=21,J49,0)</f>
        <v>0</v>
      </c>
      <c r="AM49" s="33">
        <v>21</v>
      </c>
      <c r="AN49" s="33">
        <f>G49*0.598633333333333</f>
        <v>0</v>
      </c>
      <c r="AO49" s="33">
        <f>G49*(1-0.598633333333333)</f>
        <v>0</v>
      </c>
      <c r="AP49" s="34" t="s">
        <v>7</v>
      </c>
      <c r="AU49" s="33">
        <f>AV49+AW49</f>
        <v>0</v>
      </c>
      <c r="AV49" s="33">
        <f>F49*AN49</f>
        <v>0</v>
      </c>
      <c r="AW49" s="33">
        <f>F49*AO49</f>
        <v>0</v>
      </c>
      <c r="AX49" s="35" t="s">
        <v>105</v>
      </c>
      <c r="AY49" s="35" t="s">
        <v>111</v>
      </c>
      <c r="AZ49" s="30" t="s">
        <v>113</v>
      </c>
      <c r="BB49" s="33">
        <f>AV49+AW49</f>
        <v>0</v>
      </c>
      <c r="BC49" s="33">
        <f>G49/(100-BD49)*100</f>
        <v>0</v>
      </c>
      <c r="BD49" s="33">
        <v>0</v>
      </c>
      <c r="BE49" s="33">
        <f>L49</f>
        <v>30.6</v>
      </c>
      <c r="BG49" s="81">
        <f>F49*AN49</f>
        <v>0</v>
      </c>
      <c r="BH49" s="81">
        <f>F49*AO49</f>
        <v>0</v>
      </c>
      <c r="BI49" s="81">
        <f>F49*G49</f>
        <v>0</v>
      </c>
      <c r="BJ49" s="81" t="s">
        <v>118</v>
      </c>
      <c r="BK49" s="33">
        <v>57</v>
      </c>
    </row>
    <row r="50" spans="1:64" s="79" customFormat="1" x14ac:dyDescent="0.25">
      <c r="A50" s="5"/>
      <c r="C50" s="17" t="s">
        <v>26</v>
      </c>
      <c r="D50" s="90" t="s">
        <v>266</v>
      </c>
      <c r="E50" s="169"/>
      <c r="F50" s="169"/>
      <c r="G50" s="169"/>
      <c r="H50" s="169"/>
      <c r="I50" s="169"/>
      <c r="J50" s="169"/>
      <c r="K50" s="169"/>
      <c r="L50" s="170"/>
      <c r="M50" s="72"/>
    </row>
    <row r="51" spans="1:64" s="79" customFormat="1" ht="39.6" x14ac:dyDescent="0.25">
      <c r="A51" s="4" t="s">
        <v>270</v>
      </c>
      <c r="B51" s="13"/>
      <c r="C51" s="93" t="s">
        <v>216</v>
      </c>
      <c r="D51" s="160" t="s">
        <v>227</v>
      </c>
      <c r="E51" s="13" t="s">
        <v>73</v>
      </c>
      <c r="F51" s="81">
        <v>1442</v>
      </c>
      <c r="G51" s="259">
        <v>0</v>
      </c>
      <c r="H51" s="81">
        <f>F51*AN51</f>
        <v>0</v>
      </c>
      <c r="I51" s="81">
        <f>F51*AO51</f>
        <v>0</v>
      </c>
      <c r="J51" s="81">
        <f>F51*G51</f>
        <v>0</v>
      </c>
      <c r="K51" s="81">
        <v>0.12966</v>
      </c>
      <c r="L51" s="94">
        <f>F51*K51</f>
        <v>186.96972</v>
      </c>
      <c r="M51" s="72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81">
        <f>IF(AM51=0,J51,0)</f>
        <v>0</v>
      </c>
      <c r="AJ51" s="81">
        <f>IF(AM51=15,J51,0)</f>
        <v>0</v>
      </c>
      <c r="AK51" s="81">
        <f>IF(AM51=21,J51,0)</f>
        <v>0</v>
      </c>
      <c r="AM51" s="33">
        <v>21</v>
      </c>
      <c r="AN51" s="33">
        <f>G51*0.638098676293622</f>
        <v>0</v>
      </c>
      <c r="AO51" s="33">
        <f>G51*(1-0.638098676293622)</f>
        <v>0</v>
      </c>
      <c r="AP51" s="34" t="s">
        <v>7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105</v>
      </c>
      <c r="AY51" s="35" t="s">
        <v>111</v>
      </c>
      <c r="AZ51" s="30" t="s">
        <v>113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186.96972</v>
      </c>
      <c r="BG51" s="81">
        <f>F51*AN51</f>
        <v>0</v>
      </c>
      <c r="BH51" s="81">
        <f>F51*AO51</f>
        <v>0</v>
      </c>
      <c r="BI51" s="81">
        <f>F51*G51</f>
        <v>0</v>
      </c>
      <c r="BJ51" s="81" t="s">
        <v>118</v>
      </c>
      <c r="BK51" s="33">
        <v>57</v>
      </c>
    </row>
    <row r="52" spans="1:64" s="79" customFormat="1" x14ac:dyDescent="0.25">
      <c r="A52" s="5"/>
      <c r="D52" s="19"/>
      <c r="E52" s="95"/>
      <c r="F52" s="24"/>
      <c r="G52" s="95"/>
      <c r="H52" s="95"/>
      <c r="I52" s="95"/>
      <c r="J52" s="95"/>
      <c r="K52" s="95"/>
      <c r="L52" s="96"/>
      <c r="M52" s="72"/>
    </row>
    <row r="53" spans="1:64" s="79" customFormat="1" x14ac:dyDescent="0.25">
      <c r="A53" s="6"/>
      <c r="B53" s="14"/>
      <c r="C53" s="14" t="s">
        <v>217</v>
      </c>
      <c r="D53" s="14" t="s">
        <v>218</v>
      </c>
      <c r="E53" s="22" t="s">
        <v>6</v>
      </c>
      <c r="F53" s="22" t="s">
        <v>6</v>
      </c>
      <c r="G53" s="22" t="s">
        <v>6</v>
      </c>
      <c r="H53" s="38">
        <f>SUM(H54:H59)</f>
        <v>0</v>
      </c>
      <c r="I53" s="38">
        <f>SUM(I54:I59)</f>
        <v>0</v>
      </c>
      <c r="J53" s="38">
        <f>SUM(J54:J59)</f>
        <v>0</v>
      </c>
      <c r="K53" s="30"/>
      <c r="L53" s="38">
        <f>SUM(L54:L59)</f>
        <v>28.42267</v>
      </c>
      <c r="M53" s="5"/>
      <c r="AH53" s="30"/>
      <c r="AR53" s="38" t="e">
        <f>SUM(#REF!)</f>
        <v>#REF!</v>
      </c>
      <c r="AS53" s="38" t="e">
        <f>SUM(#REF!)</f>
        <v>#REF!</v>
      </c>
      <c r="AT53" s="38" t="e">
        <f>SUM(#REF!)</f>
        <v>#REF!</v>
      </c>
    </row>
    <row r="54" spans="1:64" s="79" customFormat="1" x14ac:dyDescent="0.25">
      <c r="A54" s="161" t="s">
        <v>271</v>
      </c>
      <c r="B54" s="157"/>
      <c r="C54" s="157" t="s">
        <v>228</v>
      </c>
      <c r="D54" s="157" t="s">
        <v>267</v>
      </c>
      <c r="E54" s="157" t="s">
        <v>73</v>
      </c>
      <c r="F54" s="158">
        <v>37</v>
      </c>
      <c r="G54" s="264">
        <v>0</v>
      </c>
      <c r="H54" s="81">
        <f>F54*G54*0.9</f>
        <v>0</v>
      </c>
      <c r="I54" s="81">
        <f>F54*G54*0.1</f>
        <v>0</v>
      </c>
      <c r="J54" s="81">
        <f>F54*G54</f>
        <v>0</v>
      </c>
      <c r="K54" s="107">
        <v>0.55000000000000004</v>
      </c>
      <c r="L54" s="94">
        <f>F54*K54</f>
        <v>20.350000000000001</v>
      </c>
      <c r="M54" s="162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4">
        <v>0</v>
      </c>
      <c r="Z54" s="163"/>
      <c r="AA54" s="164">
        <v>24136.415999999997</v>
      </c>
      <c r="AB54" s="164">
        <v>3211.5840000000026</v>
      </c>
      <c r="AC54" s="164">
        <v>0</v>
      </c>
      <c r="AD54" s="164">
        <v>0</v>
      </c>
      <c r="AE54" s="164">
        <v>0</v>
      </c>
      <c r="AF54" s="164">
        <v>0</v>
      </c>
      <c r="AG54" s="164">
        <v>0</v>
      </c>
      <c r="AH54" s="165"/>
      <c r="AI54" s="158">
        <v>0</v>
      </c>
      <c r="AJ54" s="158">
        <v>0</v>
      </c>
      <c r="AK54" s="158">
        <v>27348</v>
      </c>
      <c r="AL54" s="163"/>
      <c r="AM54" s="164">
        <v>21</v>
      </c>
      <c r="AN54" s="164">
        <v>233.87999999999997</v>
      </c>
      <c r="AO54" s="164">
        <v>31.120000000000026</v>
      </c>
      <c r="AP54" s="166" t="s">
        <v>7</v>
      </c>
      <c r="AQ54" s="163"/>
      <c r="AR54" s="163"/>
      <c r="AS54" s="163"/>
      <c r="AT54" s="163"/>
      <c r="AU54" s="164">
        <v>27348</v>
      </c>
      <c r="AV54" s="164">
        <v>24136.415999999997</v>
      </c>
      <c r="AW54" s="164">
        <v>3211.5840000000026</v>
      </c>
      <c r="AX54" s="167" t="s">
        <v>231</v>
      </c>
      <c r="AY54" s="167" t="s">
        <v>111</v>
      </c>
      <c r="AZ54" s="165" t="s">
        <v>113</v>
      </c>
      <c r="BA54" s="163"/>
      <c r="BB54" s="164">
        <v>27348</v>
      </c>
      <c r="BC54" s="164">
        <v>265</v>
      </c>
      <c r="BD54" s="164">
        <v>0</v>
      </c>
      <c r="BE54" s="164">
        <v>56.889000000000003</v>
      </c>
      <c r="BF54" s="163"/>
      <c r="BG54" s="158">
        <v>24136.415999999997</v>
      </c>
      <c r="BH54" s="158">
        <v>3211.5840000000026</v>
      </c>
      <c r="BI54" s="158">
        <v>27348</v>
      </c>
      <c r="BJ54" s="158" t="s">
        <v>118</v>
      </c>
      <c r="BK54" s="164">
        <v>56</v>
      </c>
    </row>
    <row r="55" spans="1:64" s="79" customFormat="1" x14ac:dyDescent="0.25">
      <c r="A55" s="162"/>
      <c r="B55" s="163"/>
      <c r="C55" s="168" t="s">
        <v>26</v>
      </c>
      <c r="D55" s="225" t="s">
        <v>250</v>
      </c>
      <c r="E55" s="226"/>
      <c r="F55" s="226"/>
      <c r="G55" s="226"/>
      <c r="H55" s="226"/>
      <c r="I55" s="226"/>
      <c r="J55" s="226"/>
      <c r="K55" s="226"/>
      <c r="L55" s="226"/>
      <c r="M55" s="162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</row>
    <row r="56" spans="1:64" s="79" customFormat="1" x14ac:dyDescent="0.25">
      <c r="A56" s="161" t="s">
        <v>232</v>
      </c>
      <c r="B56" s="157"/>
      <c r="C56" s="157" t="s">
        <v>229</v>
      </c>
      <c r="D56" s="157" t="s">
        <v>230</v>
      </c>
      <c r="E56" s="157" t="s">
        <v>73</v>
      </c>
      <c r="F56" s="158">
        <v>17</v>
      </c>
      <c r="G56" s="264">
        <v>0</v>
      </c>
      <c r="H56" s="81">
        <f>F56*G56*0.9</f>
        <v>0</v>
      </c>
      <c r="I56" s="81">
        <f>F56*G56*0.1</f>
        <v>0</v>
      </c>
      <c r="J56" s="81">
        <f>F56*G56</f>
        <v>0</v>
      </c>
      <c r="K56" s="158">
        <v>0.38313999999999998</v>
      </c>
      <c r="L56" s="94">
        <f>F56*K56</f>
        <v>6.5133799999999997</v>
      </c>
      <c r="M56" s="162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4">
        <v>0</v>
      </c>
      <c r="Z56" s="163"/>
      <c r="AA56" s="164">
        <v>32686.535999999996</v>
      </c>
      <c r="AB56" s="164">
        <v>3588.2640000000042</v>
      </c>
      <c r="AC56" s="164">
        <v>0</v>
      </c>
      <c r="AD56" s="164">
        <v>0</v>
      </c>
      <c r="AE56" s="164">
        <v>0</v>
      </c>
      <c r="AF56" s="164">
        <v>0</v>
      </c>
      <c r="AG56" s="164">
        <v>0</v>
      </c>
      <c r="AH56" s="165"/>
      <c r="AI56" s="158">
        <v>0</v>
      </c>
      <c r="AJ56" s="158">
        <v>0</v>
      </c>
      <c r="AK56" s="158">
        <v>36274.800000000003</v>
      </c>
      <c r="AL56" s="163"/>
      <c r="AM56" s="164">
        <v>21</v>
      </c>
      <c r="AN56" s="164">
        <v>316.72999999999996</v>
      </c>
      <c r="AO56" s="164">
        <v>34.770000000000039</v>
      </c>
      <c r="AP56" s="166" t="s">
        <v>7</v>
      </c>
      <c r="AQ56" s="163"/>
      <c r="AR56" s="163"/>
      <c r="AS56" s="163"/>
      <c r="AT56" s="163"/>
      <c r="AU56" s="164">
        <v>36274.800000000003</v>
      </c>
      <c r="AV56" s="164">
        <v>32686.535999999996</v>
      </c>
      <c r="AW56" s="164">
        <v>3588.2640000000042</v>
      </c>
      <c r="AX56" s="167" t="s">
        <v>231</v>
      </c>
      <c r="AY56" s="167" t="s">
        <v>111</v>
      </c>
      <c r="AZ56" s="165" t="s">
        <v>113</v>
      </c>
      <c r="BA56" s="163"/>
      <c r="BB56" s="164">
        <v>36274.800000000003</v>
      </c>
      <c r="BC56" s="164">
        <v>351.5</v>
      </c>
      <c r="BD56" s="164">
        <v>0</v>
      </c>
      <c r="BE56" s="164">
        <v>39.540047999999999</v>
      </c>
      <c r="BF56" s="163"/>
      <c r="BG56" s="158">
        <v>32686.535999999996</v>
      </c>
      <c r="BH56" s="158">
        <v>3588.2640000000042</v>
      </c>
      <c r="BI56" s="158">
        <v>36274.800000000003</v>
      </c>
      <c r="BJ56" s="158" t="s">
        <v>118</v>
      </c>
      <c r="BK56" s="164">
        <v>56</v>
      </c>
    </row>
    <row r="57" spans="1:64" s="79" customFormat="1" x14ac:dyDescent="0.25">
      <c r="A57" s="162"/>
      <c r="B57" s="163"/>
      <c r="C57" s="168" t="s">
        <v>26</v>
      </c>
      <c r="D57" s="225" t="s">
        <v>251</v>
      </c>
      <c r="E57" s="226"/>
      <c r="F57" s="226"/>
      <c r="G57" s="226"/>
      <c r="H57" s="226"/>
      <c r="I57" s="226"/>
      <c r="J57" s="226"/>
      <c r="K57" s="226"/>
      <c r="L57" s="226"/>
      <c r="M57" s="162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</row>
    <row r="58" spans="1:64" s="79" customFormat="1" x14ac:dyDescent="0.25">
      <c r="A58" s="5">
        <v>20</v>
      </c>
      <c r="C58" s="13" t="s">
        <v>220</v>
      </c>
      <c r="D58" s="112" t="s">
        <v>221</v>
      </c>
      <c r="E58" s="13" t="s">
        <v>73</v>
      </c>
      <c r="F58" s="81">
        <v>20</v>
      </c>
      <c r="G58" s="259">
        <v>0</v>
      </c>
      <c r="H58" s="81">
        <f>F58*0.4*G58</f>
        <v>0</v>
      </c>
      <c r="I58" s="81">
        <f>F58*0.6*G58</f>
        <v>0</v>
      </c>
      <c r="J58" s="81">
        <f>F58*G58</f>
        <v>0</v>
      </c>
      <c r="K58" s="81">
        <v>7.3899999999999993E-2</v>
      </c>
      <c r="L58" s="94">
        <v>1.5592900000000001</v>
      </c>
      <c r="M58" s="81"/>
    </row>
    <row r="59" spans="1:64" s="79" customFormat="1" ht="39.6" x14ac:dyDescent="0.25">
      <c r="A59" s="5"/>
      <c r="C59" s="17"/>
      <c r="D59" s="90" t="s">
        <v>239</v>
      </c>
      <c r="E59" s="118"/>
      <c r="F59" s="118"/>
      <c r="G59" s="118"/>
      <c r="H59" s="118"/>
      <c r="I59" s="118"/>
      <c r="J59" s="118"/>
      <c r="K59" s="118"/>
      <c r="L59" s="146"/>
      <c r="M59" s="72"/>
    </row>
    <row r="60" spans="1:64" s="79" customFormat="1" x14ac:dyDescent="0.25">
      <c r="A60" s="5"/>
      <c r="C60" s="13"/>
      <c r="D60" s="112"/>
      <c r="E60" s="13"/>
      <c r="F60" s="81"/>
      <c r="G60" s="81"/>
      <c r="H60" s="81"/>
      <c r="I60" s="81"/>
      <c r="J60" s="81"/>
      <c r="K60" s="81"/>
      <c r="L60" s="94"/>
      <c r="M60" s="81"/>
      <c r="N60" s="95"/>
    </row>
    <row r="61" spans="1:64" s="125" customFormat="1" x14ac:dyDescent="0.25">
      <c r="A61" s="119"/>
      <c r="B61" s="120"/>
      <c r="C61" s="120" t="s">
        <v>29</v>
      </c>
      <c r="D61" s="222" t="s">
        <v>60</v>
      </c>
      <c r="E61" s="221"/>
      <c r="F61" s="121" t="s">
        <v>6</v>
      </c>
      <c r="G61" s="121" t="s">
        <v>6</v>
      </c>
      <c r="H61" s="150">
        <f>SUM(H62:H66)</f>
        <v>0</v>
      </c>
      <c r="I61" s="150">
        <f>SUM(I62:I66)</f>
        <v>0</v>
      </c>
      <c r="J61" s="150">
        <f>SUM(J62:J66)</f>
        <v>0</v>
      </c>
      <c r="K61" s="122">
        <f>SUM(K62:K66)</f>
        <v>0.18809999999999999</v>
      </c>
      <c r="L61" s="150">
        <f>SUM(L62:L66)</f>
        <v>4.7149999999999999</v>
      </c>
      <c r="M61" s="136"/>
      <c r="N61" s="138"/>
      <c r="O61" s="137"/>
      <c r="AI61" s="123" t="s">
        <v>188</v>
      </c>
      <c r="AS61" s="122">
        <f>SUM(AJ62:AJ62)</f>
        <v>0</v>
      </c>
      <c r="AT61" s="122">
        <f>SUM(AK62:AK62)</f>
        <v>0</v>
      </c>
      <c r="AU61" s="122">
        <f>SUM(AL62:AL62)</f>
        <v>0.188</v>
      </c>
    </row>
    <row r="62" spans="1:64" s="125" customFormat="1" x14ac:dyDescent="0.25">
      <c r="A62" s="4" t="s">
        <v>211</v>
      </c>
      <c r="B62" s="127"/>
      <c r="C62" s="127" t="s">
        <v>200</v>
      </c>
      <c r="D62" s="140" t="s">
        <v>201</v>
      </c>
      <c r="E62" s="127" t="s">
        <v>74</v>
      </c>
      <c r="F62" s="139">
        <v>25</v>
      </c>
      <c r="G62" s="262">
        <v>0</v>
      </c>
      <c r="H62" s="139">
        <f>F62*G62*0.45</f>
        <v>0</v>
      </c>
      <c r="I62" s="139">
        <f>F62*G62*0.55</f>
        <v>0</v>
      </c>
      <c r="J62" s="139">
        <f>F62*G62</f>
        <v>0</v>
      </c>
      <c r="K62" s="139">
        <v>0.188</v>
      </c>
      <c r="L62" s="145">
        <f>F62*K62</f>
        <v>4.7</v>
      </c>
      <c r="M62" s="139"/>
      <c r="N62" s="141"/>
      <c r="O62" s="137"/>
      <c r="Z62" s="130">
        <f>IF(AQ62="5",BJ62,0)</f>
        <v>0</v>
      </c>
      <c r="AB62" s="130">
        <f>IF(AQ62="1",BH62,0)</f>
        <v>0</v>
      </c>
      <c r="AC62" s="130">
        <f>IF(AQ62="1",BI62,0)</f>
        <v>0</v>
      </c>
      <c r="AD62" s="130">
        <f>IF(AQ62="7",BH62,0)</f>
        <v>0</v>
      </c>
      <c r="AE62" s="130">
        <f>IF(AQ62="7",BI62,0)</f>
        <v>0</v>
      </c>
      <c r="AF62" s="130">
        <f>IF(AQ62="2",BH62,0)</f>
        <v>0</v>
      </c>
      <c r="AG62" s="130">
        <f>IF(AQ62="2",BI62,0)</f>
        <v>0</v>
      </c>
      <c r="AH62" s="130">
        <f>IF(AQ62="0",BJ62,0)</f>
        <v>0</v>
      </c>
      <c r="AI62" s="123" t="s">
        <v>188</v>
      </c>
      <c r="AJ62" s="139">
        <f>IF(AN62=0,K62,0)</f>
        <v>0</v>
      </c>
      <c r="AK62" s="139">
        <f>IF(AN62=15,K62,0)</f>
        <v>0</v>
      </c>
      <c r="AL62" s="139">
        <f>IF(AN62=21,K62,0)</f>
        <v>0.188</v>
      </c>
      <c r="AN62" s="130">
        <v>21</v>
      </c>
      <c r="AO62" s="130">
        <f>H62*0.559380097879282</f>
        <v>0</v>
      </c>
      <c r="AP62" s="130">
        <f>H62*(1-0.559380097879282)</f>
        <v>0</v>
      </c>
      <c r="AQ62" s="141" t="s">
        <v>7</v>
      </c>
      <c r="AV62" s="130">
        <f>AW62+AX62</f>
        <v>0</v>
      </c>
      <c r="AW62" s="130">
        <f>G62*AO62</f>
        <v>0</v>
      </c>
      <c r="AX62" s="130">
        <f>G62*AP62</f>
        <v>0</v>
      </c>
      <c r="AY62" s="132" t="s">
        <v>106</v>
      </c>
      <c r="AZ62" s="132" t="s">
        <v>199</v>
      </c>
      <c r="BA62" s="123" t="s">
        <v>192</v>
      </c>
      <c r="BC62" s="130">
        <f>AW62+AX62</f>
        <v>0</v>
      </c>
      <c r="BD62" s="130">
        <f>H62/(100-BE62)*100</f>
        <v>0</v>
      </c>
      <c r="BE62" s="130">
        <v>0</v>
      </c>
      <c r="BF62" s="130">
        <f>M62</f>
        <v>0</v>
      </c>
      <c r="BH62" s="139">
        <f>G62*AO62</f>
        <v>0</v>
      </c>
      <c r="BI62" s="139">
        <f>G62*AP62</f>
        <v>0</v>
      </c>
      <c r="BJ62" s="139">
        <f>G62*H62</f>
        <v>0</v>
      </c>
      <c r="BK62" s="139" t="s">
        <v>118</v>
      </c>
      <c r="BL62" s="130">
        <v>91</v>
      </c>
    </row>
    <row r="63" spans="1:64" s="79" customFormat="1" x14ac:dyDescent="0.25">
      <c r="A63" s="162"/>
      <c r="B63" s="163"/>
      <c r="C63" s="168" t="s">
        <v>26</v>
      </c>
      <c r="D63" s="225" t="s">
        <v>268</v>
      </c>
      <c r="E63" s="226"/>
      <c r="F63" s="226"/>
      <c r="G63" s="226"/>
      <c r="H63" s="226"/>
      <c r="I63" s="226"/>
      <c r="J63" s="226"/>
      <c r="K63" s="226"/>
      <c r="L63" s="226"/>
      <c r="M63" s="162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</row>
    <row r="64" spans="1:64" s="79" customFormat="1" x14ac:dyDescent="0.25">
      <c r="A64" s="4" t="s">
        <v>233</v>
      </c>
      <c r="B64" s="13"/>
      <c r="C64" s="13" t="s">
        <v>30</v>
      </c>
      <c r="D64" s="13" t="s">
        <v>61</v>
      </c>
      <c r="E64" s="13" t="s">
        <v>74</v>
      </c>
      <c r="F64" s="81">
        <v>150</v>
      </c>
      <c r="G64" s="259">
        <v>0</v>
      </c>
      <c r="H64" s="81">
        <f>F64*AN64</f>
        <v>0</v>
      </c>
      <c r="I64" s="81">
        <f>F64*AO64</f>
        <v>0</v>
      </c>
      <c r="J64" s="81">
        <f>F64*G64</f>
        <v>0</v>
      </c>
      <c r="K64" s="81">
        <v>1E-4</v>
      </c>
      <c r="L64" s="94">
        <f>F64*K64</f>
        <v>1.5000000000000001E-2</v>
      </c>
      <c r="M64" s="72"/>
      <c r="Y64" s="33">
        <f>IF(AP64="5",BI64,0)</f>
        <v>0</v>
      </c>
      <c r="AA64" s="33">
        <f>IF(AP64="1",BG64,0)</f>
        <v>0</v>
      </c>
      <c r="AB64" s="33">
        <f>IF(AP64="1",BH64,0)</f>
        <v>0</v>
      </c>
      <c r="AC64" s="33">
        <f>IF(AP64="7",BG64,0)</f>
        <v>0</v>
      </c>
      <c r="AD64" s="33">
        <f>IF(AP64="7",BH64,0)</f>
        <v>0</v>
      </c>
      <c r="AE64" s="33">
        <f>IF(AP64="2",BG64,0)</f>
        <v>0</v>
      </c>
      <c r="AF64" s="33">
        <f>IF(AP64="2",BH64,0)</f>
        <v>0</v>
      </c>
      <c r="AG64" s="33">
        <f>IF(AP64="0",BI64,0)</f>
        <v>0</v>
      </c>
      <c r="AH64" s="30"/>
      <c r="AI64" s="81">
        <f>IF(AM64=0,J64,0)</f>
        <v>0</v>
      </c>
      <c r="AJ64" s="81">
        <f>IF(AM64=15,J64,0)</f>
        <v>0</v>
      </c>
      <c r="AK64" s="81">
        <f>IF(AM64=21,J64,0)</f>
        <v>0</v>
      </c>
      <c r="AM64" s="33">
        <v>21</v>
      </c>
      <c r="AN64" s="33">
        <f>G64*0.0923427957855178</f>
        <v>0</v>
      </c>
      <c r="AO64" s="33">
        <f>G64*(1-0.0923427957855178)</f>
        <v>0</v>
      </c>
      <c r="AP64" s="34" t="s">
        <v>7</v>
      </c>
      <c r="AU64" s="33">
        <f>AV64+AW64</f>
        <v>0</v>
      </c>
      <c r="AV64" s="33">
        <f>F64*AN64</f>
        <v>0</v>
      </c>
      <c r="AW64" s="33">
        <f>F64*AO64</f>
        <v>0</v>
      </c>
      <c r="AX64" s="35" t="s">
        <v>106</v>
      </c>
      <c r="AY64" s="35" t="s">
        <v>112</v>
      </c>
      <c r="AZ64" s="30" t="s">
        <v>113</v>
      </c>
      <c r="BB64" s="33">
        <f>AV64+AW64</f>
        <v>0</v>
      </c>
      <c r="BC64" s="33">
        <f>G64/(100-BD64)*100</f>
        <v>0</v>
      </c>
      <c r="BD64" s="33">
        <v>0</v>
      </c>
      <c r="BE64" s="33">
        <f>L64</f>
        <v>1.5000000000000001E-2</v>
      </c>
      <c r="BG64" s="81">
        <f>F64*AN64</f>
        <v>0</v>
      </c>
      <c r="BH64" s="81">
        <f>F64*AO64</f>
        <v>0</v>
      </c>
      <c r="BI64" s="81">
        <f>F64*G64</f>
        <v>0</v>
      </c>
      <c r="BJ64" s="81" t="s">
        <v>118</v>
      </c>
      <c r="BK64" s="33">
        <v>91</v>
      </c>
    </row>
    <row r="65" spans="1:63" s="79" customFormat="1" x14ac:dyDescent="0.25">
      <c r="A65" s="5"/>
      <c r="C65" s="17" t="s">
        <v>26</v>
      </c>
      <c r="D65" s="90" t="s">
        <v>173</v>
      </c>
      <c r="E65" s="90"/>
      <c r="F65" s="90"/>
      <c r="G65" s="90"/>
      <c r="H65" s="90"/>
      <c r="I65" s="90"/>
      <c r="J65" s="90"/>
      <c r="K65" s="90"/>
      <c r="L65" s="90"/>
      <c r="M65" s="72"/>
    </row>
    <row r="66" spans="1:63" s="79" customFormat="1" x14ac:dyDescent="0.25">
      <c r="A66" s="5"/>
      <c r="C66" s="80" t="s">
        <v>18</v>
      </c>
      <c r="D66" s="209" t="s">
        <v>184</v>
      </c>
      <c r="E66" s="210"/>
      <c r="F66" s="210"/>
      <c r="G66" s="210"/>
      <c r="H66" s="210"/>
      <c r="I66" s="210"/>
      <c r="J66" s="210"/>
      <c r="K66" s="210"/>
      <c r="L66" s="211"/>
      <c r="M66" s="72"/>
    </row>
    <row r="67" spans="1:63" s="79" customFormat="1" ht="31.8" customHeight="1" thickBot="1" x14ac:dyDescent="0.3">
      <c r="A67" s="72"/>
      <c r="D67" s="156"/>
      <c r="F67" s="24"/>
      <c r="L67" s="170"/>
      <c r="M67" s="72"/>
    </row>
    <row r="68" spans="1:63" s="79" customFormat="1" ht="13.2" customHeight="1" x14ac:dyDescent="0.25">
      <c r="A68" s="14"/>
      <c r="B68" s="14"/>
      <c r="C68" s="14" t="s">
        <v>178</v>
      </c>
      <c r="D68" s="14" t="s">
        <v>179</v>
      </c>
      <c r="E68" s="14" t="s">
        <v>6</v>
      </c>
      <c r="F68" s="14" t="s">
        <v>6</v>
      </c>
      <c r="G68" s="103" t="s">
        <v>6</v>
      </c>
      <c r="H68" s="97">
        <f>H69+H70+H71+H73+H75</f>
        <v>0</v>
      </c>
      <c r="I68" s="97">
        <f t="shared" ref="I68:J68" si="0">I69+I70+I71+I73+I75</f>
        <v>0</v>
      </c>
      <c r="J68" s="97">
        <f>J69+J70+J71+J73+J75</f>
        <v>0</v>
      </c>
      <c r="K68" s="104"/>
      <c r="L68" s="97">
        <f>L69+L70+L71+L73+L75</f>
        <v>18.155239999999999</v>
      </c>
      <c r="M68" s="13"/>
      <c r="AH68" s="29"/>
      <c r="AR68" s="37">
        <v>0</v>
      </c>
      <c r="AS68" s="37">
        <v>0</v>
      </c>
      <c r="AT68" s="37">
        <v>10728</v>
      </c>
    </row>
    <row r="69" spans="1:63" s="108" customFormat="1" ht="26.4" x14ac:dyDescent="0.25">
      <c r="A69" s="105" t="s">
        <v>252</v>
      </c>
      <c r="B69" s="105"/>
      <c r="C69" s="105" t="s">
        <v>180</v>
      </c>
      <c r="D69" s="113" t="s">
        <v>186</v>
      </c>
      <c r="E69" s="105" t="s">
        <v>181</v>
      </c>
      <c r="F69" s="106" t="s">
        <v>8</v>
      </c>
      <c r="G69" s="265">
        <v>0</v>
      </c>
      <c r="H69" s="81">
        <f>G69*F69*0.4</f>
        <v>0</v>
      </c>
      <c r="I69" s="81">
        <f>G69*F69*0.6</f>
        <v>0</v>
      </c>
      <c r="J69" s="81">
        <f>F69*G69</f>
        <v>0</v>
      </c>
      <c r="K69" s="107">
        <v>0.43093999999999999</v>
      </c>
      <c r="L69" s="94">
        <f>F69*K69</f>
        <v>0.86187999999999998</v>
      </c>
      <c r="M69" s="105"/>
      <c r="N69" s="185"/>
      <c r="Y69" s="109">
        <v>0</v>
      </c>
      <c r="AA69" s="109">
        <v>2992.9999999999991</v>
      </c>
      <c r="AB69" s="109">
        <v>6487</v>
      </c>
      <c r="AC69" s="109">
        <v>0</v>
      </c>
      <c r="AD69" s="109">
        <v>0</v>
      </c>
      <c r="AE69" s="109">
        <v>0</v>
      </c>
      <c r="AF69" s="109">
        <v>0</v>
      </c>
      <c r="AG69" s="109">
        <v>0</v>
      </c>
      <c r="AH69" s="106"/>
      <c r="AI69" s="110">
        <v>0</v>
      </c>
      <c r="AJ69" s="110">
        <v>0</v>
      </c>
      <c r="AK69" s="110">
        <v>9480</v>
      </c>
      <c r="AM69" s="109">
        <v>21</v>
      </c>
      <c r="AN69" s="109">
        <v>748.24999999999977</v>
      </c>
      <c r="AO69" s="109">
        <v>1621.75</v>
      </c>
      <c r="AP69" s="111" t="s">
        <v>7</v>
      </c>
      <c r="AU69" s="109">
        <v>9480</v>
      </c>
      <c r="AV69" s="109">
        <v>2992.9999999999991</v>
      </c>
      <c r="AW69" s="109">
        <v>6487</v>
      </c>
      <c r="AX69" s="106" t="s">
        <v>182</v>
      </c>
      <c r="AY69" s="106" t="s">
        <v>183</v>
      </c>
      <c r="AZ69" s="106" t="s">
        <v>113</v>
      </c>
      <c r="BB69" s="109">
        <v>9480</v>
      </c>
      <c r="BC69" s="109">
        <v>2370</v>
      </c>
      <c r="BD69" s="109">
        <v>0</v>
      </c>
      <c r="BE69" s="109">
        <v>1.72376</v>
      </c>
      <c r="BG69" s="110">
        <v>2992.9999999999991</v>
      </c>
      <c r="BH69" s="110">
        <v>6487</v>
      </c>
      <c r="BI69" s="110">
        <v>9480</v>
      </c>
      <c r="BJ69" s="110" t="s">
        <v>118</v>
      </c>
      <c r="BK69" s="109">
        <v>89</v>
      </c>
    </row>
    <row r="70" spans="1:63" s="108" customFormat="1" ht="26.4" x14ac:dyDescent="0.25">
      <c r="A70" s="105" t="s">
        <v>256</v>
      </c>
      <c r="B70" s="105"/>
      <c r="C70" s="105" t="s">
        <v>180</v>
      </c>
      <c r="D70" s="113" t="s">
        <v>187</v>
      </c>
      <c r="E70" s="105" t="s">
        <v>181</v>
      </c>
      <c r="F70" s="106" t="s">
        <v>15</v>
      </c>
      <c r="G70" s="265">
        <v>0</v>
      </c>
      <c r="H70" s="81">
        <f>G70*F70*0.4</f>
        <v>0</v>
      </c>
      <c r="I70" s="81">
        <f>G70*F70*0.6</f>
        <v>0</v>
      </c>
      <c r="J70" s="81">
        <f>F70*G70</f>
        <v>0</v>
      </c>
      <c r="K70" s="107">
        <v>0.43093999999999999</v>
      </c>
      <c r="L70" s="94">
        <f>F70*K70</f>
        <v>3.87846</v>
      </c>
      <c r="M70" s="105"/>
      <c r="N70" s="185"/>
      <c r="Y70" s="109">
        <v>0</v>
      </c>
      <c r="AA70" s="109">
        <v>2992.9999999999991</v>
      </c>
      <c r="AB70" s="109">
        <v>6487</v>
      </c>
      <c r="AC70" s="109">
        <v>0</v>
      </c>
      <c r="AD70" s="109">
        <v>0</v>
      </c>
      <c r="AE70" s="109">
        <v>0</v>
      </c>
      <c r="AF70" s="109">
        <v>0</v>
      </c>
      <c r="AG70" s="109">
        <v>0</v>
      </c>
      <c r="AH70" s="106"/>
      <c r="AI70" s="110">
        <v>0</v>
      </c>
      <c r="AJ70" s="110">
        <v>0</v>
      </c>
      <c r="AK70" s="110">
        <v>9480</v>
      </c>
      <c r="AM70" s="109">
        <v>21</v>
      </c>
      <c r="AN70" s="109">
        <v>748.24999999999977</v>
      </c>
      <c r="AO70" s="109">
        <v>1621.75</v>
      </c>
      <c r="AP70" s="111" t="s">
        <v>7</v>
      </c>
      <c r="AU70" s="109">
        <v>9480</v>
      </c>
      <c r="AV70" s="109">
        <v>2992.9999999999991</v>
      </c>
      <c r="AW70" s="109">
        <v>6487</v>
      </c>
      <c r="AX70" s="106" t="s">
        <v>182</v>
      </c>
      <c r="AY70" s="106" t="s">
        <v>183</v>
      </c>
      <c r="AZ70" s="106" t="s">
        <v>113</v>
      </c>
      <c r="BB70" s="109">
        <v>9480</v>
      </c>
      <c r="BC70" s="109">
        <v>2370</v>
      </c>
      <c r="BD70" s="109">
        <v>0</v>
      </c>
      <c r="BE70" s="109">
        <v>1.72376</v>
      </c>
      <c r="BG70" s="110">
        <v>2992.9999999999991</v>
      </c>
      <c r="BH70" s="110">
        <v>6487</v>
      </c>
      <c r="BI70" s="110">
        <v>9480</v>
      </c>
      <c r="BJ70" s="110" t="s">
        <v>118</v>
      </c>
      <c r="BK70" s="109">
        <v>89</v>
      </c>
    </row>
    <row r="71" spans="1:63" s="108" customFormat="1" x14ac:dyDescent="0.25">
      <c r="A71" s="173" t="s">
        <v>259</v>
      </c>
      <c r="B71" s="174"/>
      <c r="C71" s="174" t="s">
        <v>240</v>
      </c>
      <c r="D71" s="186" t="s">
        <v>241</v>
      </c>
      <c r="E71" s="174" t="s">
        <v>74</v>
      </c>
      <c r="F71" s="175">
        <v>8</v>
      </c>
      <c r="G71" s="266">
        <v>0</v>
      </c>
      <c r="H71" s="81">
        <f>G71*F71*0.3</f>
        <v>0</v>
      </c>
      <c r="I71" s="81">
        <f>G71*F71*0.7</f>
        <v>0</v>
      </c>
      <c r="J71" s="175">
        <f>F71*G71</f>
        <v>0</v>
      </c>
      <c r="K71" s="175">
        <v>0.90902000000000005</v>
      </c>
      <c r="L71" s="94">
        <f>F71*K71</f>
        <v>7.2721600000000004</v>
      </c>
      <c r="M71" s="180"/>
      <c r="Y71" s="109"/>
      <c r="AA71" s="109"/>
      <c r="AB71" s="109"/>
      <c r="AC71" s="109"/>
      <c r="AD71" s="109"/>
      <c r="AE71" s="109"/>
      <c r="AF71" s="109"/>
      <c r="AG71" s="109"/>
      <c r="AH71" s="106"/>
      <c r="AI71" s="110"/>
      <c r="AJ71" s="110"/>
      <c r="AK71" s="110"/>
      <c r="AM71" s="109"/>
      <c r="AN71" s="109"/>
      <c r="AO71" s="109"/>
      <c r="AP71" s="111"/>
      <c r="AU71" s="109"/>
      <c r="AV71" s="109"/>
      <c r="AW71" s="109"/>
      <c r="AX71" s="106"/>
      <c r="AY71" s="106"/>
      <c r="AZ71" s="106"/>
      <c r="BB71" s="109"/>
      <c r="BC71" s="109"/>
      <c r="BD71" s="109"/>
      <c r="BE71" s="109"/>
      <c r="BG71" s="110"/>
      <c r="BH71" s="110"/>
      <c r="BI71" s="110"/>
      <c r="BJ71" s="110"/>
      <c r="BK71" s="109"/>
    </row>
    <row r="72" spans="1:63" s="108" customFormat="1" ht="67.8" customHeight="1" x14ac:dyDescent="0.25">
      <c r="A72" s="176"/>
      <c r="B72" s="183" t="s">
        <v>18</v>
      </c>
      <c r="C72" s="223" t="s">
        <v>243</v>
      </c>
      <c r="D72" s="223"/>
      <c r="E72" s="223"/>
      <c r="F72" s="223"/>
      <c r="G72" s="223"/>
      <c r="H72" s="223"/>
      <c r="I72" s="223"/>
      <c r="J72" s="223"/>
      <c r="K72" s="223"/>
      <c r="L72" s="224"/>
      <c r="M72" s="184"/>
      <c r="Y72" s="109"/>
      <c r="AA72" s="109"/>
      <c r="AB72" s="109"/>
      <c r="AC72" s="109"/>
      <c r="AD72" s="109"/>
      <c r="AE72" s="109"/>
      <c r="AF72" s="109"/>
      <c r="AG72" s="109"/>
      <c r="AH72" s="106"/>
      <c r="AI72" s="110"/>
      <c r="AJ72" s="110"/>
      <c r="AK72" s="110"/>
      <c r="AM72" s="109"/>
      <c r="AN72" s="109"/>
      <c r="AO72" s="109"/>
      <c r="AP72" s="111"/>
      <c r="AU72" s="109"/>
      <c r="AV72" s="109"/>
      <c r="AW72" s="109"/>
      <c r="AX72" s="106"/>
      <c r="AY72" s="106"/>
      <c r="AZ72" s="106"/>
      <c r="BB72" s="109"/>
      <c r="BC72" s="109"/>
      <c r="BD72" s="109"/>
      <c r="BE72" s="109"/>
      <c r="BG72" s="110"/>
      <c r="BH72" s="110"/>
      <c r="BI72" s="110"/>
      <c r="BJ72" s="110"/>
      <c r="BK72" s="109"/>
    </row>
    <row r="73" spans="1:63" s="177" customFormat="1" x14ac:dyDescent="0.25">
      <c r="A73" s="173" t="s">
        <v>272</v>
      </c>
      <c r="B73" s="174"/>
      <c r="C73" s="174" t="s">
        <v>244</v>
      </c>
      <c r="D73" s="186" t="s">
        <v>245</v>
      </c>
      <c r="E73" s="174" t="s">
        <v>181</v>
      </c>
      <c r="F73" s="175">
        <v>2</v>
      </c>
      <c r="G73" s="266">
        <v>0</v>
      </c>
      <c r="H73" s="175">
        <f>F73*AN73</f>
        <v>0</v>
      </c>
      <c r="I73" s="175">
        <f>F73*AO73</f>
        <v>0</v>
      </c>
      <c r="J73" s="175">
        <f>F73*G73</f>
        <v>0</v>
      </c>
      <c r="K73" s="175">
        <v>3.0596700000000001</v>
      </c>
      <c r="L73" s="94">
        <f>F73*K73</f>
        <v>6.1193400000000002</v>
      </c>
      <c r="M73" s="180"/>
      <c r="N73" s="187"/>
      <c r="Y73" s="178">
        <f>IF(AP73="5",BI73,0)</f>
        <v>0</v>
      </c>
      <c r="AA73" s="178">
        <f>IF(AP73="1",BG73,0)</f>
        <v>0</v>
      </c>
      <c r="AB73" s="178">
        <f>IF(AP73="1",BH73,0)</f>
        <v>0</v>
      </c>
      <c r="AC73" s="178">
        <f>IF(AP73="7",BG73,0)</f>
        <v>0</v>
      </c>
      <c r="AD73" s="178">
        <f>IF(AP73="7",BH73,0)</f>
        <v>0</v>
      </c>
      <c r="AE73" s="178">
        <f>IF(AP73="2",BG73,0)</f>
        <v>0</v>
      </c>
      <c r="AF73" s="178">
        <f>IF(AP73="2",BH73,0)</f>
        <v>0</v>
      </c>
      <c r="AG73" s="178">
        <f>IF(AP73="0",BI73,0)</f>
        <v>0</v>
      </c>
      <c r="AH73" s="179" t="s">
        <v>204</v>
      </c>
      <c r="AI73" s="175">
        <f>IF(AM73=0,J73,0)</f>
        <v>0</v>
      </c>
      <c r="AJ73" s="175">
        <f>IF(AM73=15,J73,0)</f>
        <v>0</v>
      </c>
      <c r="AK73" s="175">
        <f>IF(AM73=21,J73,0)</f>
        <v>0</v>
      </c>
      <c r="AM73" s="178">
        <v>21</v>
      </c>
      <c r="AN73" s="178">
        <f>G73*0.764477552301852</f>
        <v>0</v>
      </c>
      <c r="AO73" s="178">
        <f>G73*(1-0.764477552301852)</f>
        <v>0</v>
      </c>
      <c r="AP73" s="180" t="s">
        <v>7</v>
      </c>
      <c r="AU73" s="178">
        <f>AV73+AW73</f>
        <v>0</v>
      </c>
      <c r="AV73" s="178">
        <f>F73*AN73</f>
        <v>0</v>
      </c>
      <c r="AW73" s="178">
        <f>F73*AO73</f>
        <v>0</v>
      </c>
      <c r="AX73" s="181" t="s">
        <v>182</v>
      </c>
      <c r="AY73" s="181" t="s">
        <v>242</v>
      </c>
      <c r="AZ73" s="179" t="s">
        <v>206</v>
      </c>
      <c r="BB73" s="178">
        <f>AV73+AW73</f>
        <v>0</v>
      </c>
      <c r="BC73" s="178">
        <f>G73/(100-BD73)*100</f>
        <v>0</v>
      </c>
      <c r="BD73" s="178">
        <v>0</v>
      </c>
      <c r="BE73" s="178">
        <f>L73</f>
        <v>6.1193400000000002</v>
      </c>
      <c r="BG73" s="175">
        <f>F73*AN73</f>
        <v>0</v>
      </c>
      <c r="BH73" s="175">
        <f>F73*AO73</f>
        <v>0</v>
      </c>
      <c r="BI73" s="175">
        <f>F73*G73</f>
        <v>0</v>
      </c>
      <c r="BJ73" s="175" t="s">
        <v>118</v>
      </c>
      <c r="BK73" s="178">
        <v>89</v>
      </c>
    </row>
    <row r="74" spans="1:63" s="177" customFormat="1" ht="13.2" customHeight="1" x14ac:dyDescent="0.25">
      <c r="A74" s="176"/>
      <c r="B74" s="182" t="s">
        <v>26</v>
      </c>
      <c r="C74" s="1" t="s">
        <v>246</v>
      </c>
      <c r="D74" s="1"/>
      <c r="E74" s="192"/>
      <c r="F74" s="192"/>
      <c r="G74" s="267"/>
      <c r="H74" s="192"/>
      <c r="I74" s="192"/>
      <c r="J74" s="192"/>
      <c r="K74" s="192"/>
      <c r="L74" s="193"/>
      <c r="M74" s="192"/>
      <c r="N74" s="187"/>
    </row>
    <row r="75" spans="1:63" s="177" customFormat="1" x14ac:dyDescent="0.25">
      <c r="A75" s="173" t="s">
        <v>273</v>
      </c>
      <c r="B75" s="174"/>
      <c r="C75" s="174" t="s">
        <v>247</v>
      </c>
      <c r="D75" s="186" t="s">
        <v>248</v>
      </c>
      <c r="E75" s="174" t="s">
        <v>181</v>
      </c>
      <c r="F75" s="175">
        <v>2</v>
      </c>
      <c r="G75" s="266">
        <v>0</v>
      </c>
      <c r="H75" s="175">
        <f>F75*AN75</f>
        <v>0</v>
      </c>
      <c r="I75" s="175">
        <f>F75*AO75</f>
        <v>0</v>
      </c>
      <c r="J75" s="175">
        <f>F75*G75</f>
        <v>0</v>
      </c>
      <c r="K75" s="175">
        <v>1.17E-2</v>
      </c>
      <c r="L75" s="94">
        <f>F75*K75</f>
        <v>2.3400000000000001E-2</v>
      </c>
      <c r="M75" s="180"/>
      <c r="N75" s="187"/>
      <c r="Y75" s="178">
        <f>IF(AP75="5",BI75,0)</f>
        <v>0</v>
      </c>
      <c r="AA75" s="178">
        <f>IF(AP75="1",BG75,0)</f>
        <v>0</v>
      </c>
      <c r="AB75" s="178">
        <f>IF(AP75="1",BH75,0)</f>
        <v>0</v>
      </c>
      <c r="AC75" s="178">
        <f>IF(AP75="7",BG75,0)</f>
        <v>0</v>
      </c>
      <c r="AD75" s="178">
        <f>IF(AP75="7",BH75,0)</f>
        <v>0</v>
      </c>
      <c r="AE75" s="178">
        <f>IF(AP75="2",BG75,0)</f>
        <v>0</v>
      </c>
      <c r="AF75" s="178">
        <f>IF(AP75="2",BH75,0)</f>
        <v>0</v>
      </c>
      <c r="AG75" s="178">
        <f>IF(AP75="0",BI75,0)</f>
        <v>0</v>
      </c>
      <c r="AH75" s="179" t="s">
        <v>204</v>
      </c>
      <c r="AI75" s="175">
        <f>IF(AM75=0,J75,0)</f>
        <v>0</v>
      </c>
      <c r="AJ75" s="175">
        <f>IF(AM75=15,J75,0)</f>
        <v>0</v>
      </c>
      <c r="AK75" s="175">
        <f>IF(AM75=21,J75,0)</f>
        <v>0</v>
      </c>
      <c r="AM75" s="178">
        <v>21</v>
      </c>
      <c r="AN75" s="178">
        <f>G75*0.0126830334990202</f>
        <v>0</v>
      </c>
      <c r="AO75" s="178">
        <f>G75*(1-0.0126830334990202)</f>
        <v>0</v>
      </c>
      <c r="AP75" s="180" t="s">
        <v>7</v>
      </c>
      <c r="AU75" s="178">
        <f>AV75+AW75</f>
        <v>0</v>
      </c>
      <c r="AV75" s="178">
        <f>F75*AN75</f>
        <v>0</v>
      </c>
      <c r="AW75" s="178">
        <f>F75*AO75</f>
        <v>0</v>
      </c>
      <c r="AX75" s="181" t="s">
        <v>182</v>
      </c>
      <c r="AY75" s="181" t="s">
        <v>242</v>
      </c>
      <c r="AZ75" s="179" t="s">
        <v>206</v>
      </c>
      <c r="BB75" s="178">
        <f>AV75+AW75</f>
        <v>0</v>
      </c>
      <c r="BC75" s="178">
        <f>G75/(100-BD75)*100</f>
        <v>0</v>
      </c>
      <c r="BD75" s="178">
        <v>0</v>
      </c>
      <c r="BE75" s="178">
        <f>L75</f>
        <v>2.3400000000000001E-2</v>
      </c>
      <c r="BG75" s="175">
        <f>F75*AN75</f>
        <v>0</v>
      </c>
      <c r="BH75" s="175">
        <f>F75*AO75</f>
        <v>0</v>
      </c>
      <c r="BI75" s="175">
        <f>F75*G75</f>
        <v>0</v>
      </c>
      <c r="BJ75" s="175" t="s">
        <v>118</v>
      </c>
      <c r="BK75" s="178">
        <v>89</v>
      </c>
    </row>
    <row r="76" spans="1:63" s="79" customFormat="1" x14ac:dyDescent="0.25">
      <c r="A76" s="5"/>
      <c r="C76" s="80"/>
      <c r="D76" s="114"/>
      <c r="E76" s="115"/>
      <c r="F76" s="115"/>
      <c r="G76" s="115"/>
      <c r="H76" s="115"/>
      <c r="I76" s="115"/>
      <c r="J76" s="115"/>
      <c r="K76" s="115"/>
      <c r="L76" s="171"/>
      <c r="M76" s="72"/>
    </row>
    <row r="77" spans="1:63" s="125" customFormat="1" x14ac:dyDescent="0.25">
      <c r="A77" s="119"/>
      <c r="B77" s="120"/>
      <c r="C77" s="120"/>
      <c r="D77" s="220" t="s">
        <v>132</v>
      </c>
      <c r="E77" s="221"/>
      <c r="F77" s="121" t="s">
        <v>6</v>
      </c>
      <c r="G77" s="121" t="s">
        <v>6</v>
      </c>
      <c r="H77" s="122">
        <f>SUM(H78:H85)</f>
        <v>0</v>
      </c>
      <c r="I77" s="122">
        <f>SUM(I78:I85)</f>
        <v>0</v>
      </c>
      <c r="J77" s="122">
        <f>SUM(J78:J85)</f>
        <v>0</v>
      </c>
      <c r="K77" s="122"/>
      <c r="L77" s="150">
        <f>SUM(L78:L85)</f>
        <v>1.0649299999999999</v>
      </c>
      <c r="M77" s="136"/>
      <c r="N77" s="138"/>
      <c r="O77" s="137"/>
      <c r="AI77" s="123" t="s">
        <v>188</v>
      </c>
      <c r="AS77" s="122">
        <f>SUM(AJ78:AJ87)</f>
        <v>0</v>
      </c>
      <c r="AT77" s="122">
        <f>SUM(AK78:AK87)</f>
        <v>0</v>
      </c>
      <c r="AU77" s="122">
        <f>SUM(AL78:AL87)</f>
        <v>8.1970000000000001E-2</v>
      </c>
    </row>
    <row r="78" spans="1:63" s="125" customFormat="1" x14ac:dyDescent="0.25">
      <c r="A78" s="124"/>
      <c r="D78" s="133"/>
      <c r="F78" s="134"/>
      <c r="H78" s="129"/>
      <c r="L78" s="152"/>
      <c r="N78" s="137"/>
      <c r="O78" s="137"/>
    </row>
    <row r="79" spans="1:63" s="177" customFormat="1" x14ac:dyDescent="0.25">
      <c r="A79" s="126" t="s">
        <v>198</v>
      </c>
      <c r="B79" s="188"/>
      <c r="C79" s="188" t="s">
        <v>257</v>
      </c>
      <c r="D79" s="188" t="s">
        <v>258</v>
      </c>
      <c r="E79" s="188" t="s">
        <v>181</v>
      </c>
      <c r="F79" s="189">
        <v>1</v>
      </c>
      <c r="G79" s="268">
        <v>0</v>
      </c>
      <c r="H79" s="189">
        <f>F79*AN79</f>
        <v>0</v>
      </c>
      <c r="I79" s="189">
        <f>F79*AO79</f>
        <v>0</v>
      </c>
      <c r="J79" s="189">
        <f>F79*G79</f>
        <v>0</v>
      </c>
      <c r="K79" s="189">
        <v>6.7000000000000004E-2</v>
      </c>
      <c r="L79" s="194">
        <f>F79*K79</f>
        <v>6.7000000000000004E-2</v>
      </c>
      <c r="M79" s="187"/>
      <c r="Y79" s="178">
        <f>IF(AP79="5",BI79,0)</f>
        <v>0</v>
      </c>
      <c r="AA79" s="178">
        <f>IF(AP79="1",BG79,0)</f>
        <v>0</v>
      </c>
      <c r="AB79" s="178">
        <f>IF(AP79="1",BH79,0)</f>
        <v>0</v>
      </c>
      <c r="AC79" s="178">
        <f>IF(AP79="7",BG79,0)</f>
        <v>0</v>
      </c>
      <c r="AD79" s="178">
        <f>IF(AP79="7",BH79,0)</f>
        <v>0</v>
      </c>
      <c r="AE79" s="178">
        <f>IF(AP79="2",BG79,0)</f>
        <v>0</v>
      </c>
      <c r="AF79" s="178">
        <f>IF(AP79="2",BH79,0)</f>
        <v>0</v>
      </c>
      <c r="AG79" s="178">
        <f>IF(AP79="0",BI79,0)</f>
        <v>0</v>
      </c>
      <c r="AH79" s="179"/>
      <c r="AI79" s="189">
        <f>IF(AM79=0,J79,0)</f>
        <v>0</v>
      </c>
      <c r="AJ79" s="189">
        <f>IF(AM79=15,J79,0)</f>
        <v>0</v>
      </c>
      <c r="AK79" s="189">
        <f>IF(AM79=21,J79,0)</f>
        <v>0</v>
      </c>
      <c r="AM79" s="178">
        <v>21</v>
      </c>
      <c r="AN79" s="178">
        <f>G79*1</f>
        <v>0</v>
      </c>
      <c r="AO79" s="178">
        <f>G79*(1-1)</f>
        <v>0</v>
      </c>
      <c r="AP79" s="190" t="s">
        <v>189</v>
      </c>
      <c r="AU79" s="178">
        <f>AV79+AW79</f>
        <v>0</v>
      </c>
      <c r="AV79" s="178">
        <f>F79*AN79</f>
        <v>0</v>
      </c>
      <c r="AW79" s="178">
        <f>F79*AO79</f>
        <v>0</v>
      </c>
      <c r="AX79" s="181" t="s">
        <v>190</v>
      </c>
      <c r="AY79" s="181" t="s">
        <v>255</v>
      </c>
      <c r="AZ79" s="179" t="s">
        <v>113</v>
      </c>
      <c r="BB79" s="178">
        <f>AV79+AW79</f>
        <v>0</v>
      </c>
      <c r="BC79" s="178">
        <f>G79/(100-BD79)*100</f>
        <v>0</v>
      </c>
      <c r="BD79" s="178">
        <v>0</v>
      </c>
      <c r="BE79" s="178">
        <f>L79</f>
        <v>6.7000000000000004E-2</v>
      </c>
      <c r="BG79" s="189">
        <f>F79*AN79</f>
        <v>0</v>
      </c>
      <c r="BH79" s="189">
        <f>F79*AO79</f>
        <v>0</v>
      </c>
      <c r="BI79" s="189">
        <f>F79*G79</f>
        <v>0</v>
      </c>
      <c r="BJ79" s="189" t="s">
        <v>193</v>
      </c>
      <c r="BK79" s="178"/>
    </row>
    <row r="80" spans="1:63" s="177" customFormat="1" x14ac:dyDescent="0.25">
      <c r="A80" s="126"/>
      <c r="B80" s="188"/>
      <c r="C80" s="188"/>
      <c r="D80" s="188"/>
      <c r="E80" s="188"/>
      <c r="F80" s="189"/>
      <c r="G80" s="189"/>
      <c r="H80" s="189"/>
      <c r="I80" s="189"/>
      <c r="J80" s="189"/>
      <c r="K80" s="189"/>
      <c r="L80" s="194"/>
      <c r="M80" s="187"/>
      <c r="Y80" s="178"/>
      <c r="AA80" s="178"/>
      <c r="AB80" s="178"/>
      <c r="AC80" s="178"/>
      <c r="AD80" s="178"/>
      <c r="AE80" s="178"/>
      <c r="AF80" s="178"/>
      <c r="AG80" s="178"/>
      <c r="AH80" s="179"/>
      <c r="AI80" s="189"/>
      <c r="AJ80" s="189"/>
      <c r="AK80" s="189"/>
      <c r="AM80" s="178"/>
      <c r="AN80" s="178"/>
      <c r="AO80" s="178"/>
      <c r="AP80" s="190"/>
      <c r="AU80" s="178"/>
      <c r="AV80" s="178"/>
      <c r="AW80" s="178"/>
      <c r="AX80" s="181"/>
      <c r="AY80" s="181"/>
      <c r="AZ80" s="179"/>
      <c r="BB80" s="178"/>
      <c r="BC80" s="178"/>
      <c r="BD80" s="178"/>
      <c r="BE80" s="178"/>
      <c r="BG80" s="189"/>
      <c r="BH80" s="189"/>
      <c r="BI80" s="189"/>
      <c r="BJ80" s="189"/>
      <c r="BK80" s="178"/>
    </row>
    <row r="81" spans="1:64" s="177" customFormat="1" x14ac:dyDescent="0.25">
      <c r="A81" s="126" t="s">
        <v>274</v>
      </c>
      <c r="B81" s="188"/>
      <c r="C81" s="188" t="s">
        <v>260</v>
      </c>
      <c r="D81" s="188" t="s">
        <v>261</v>
      </c>
      <c r="E81" s="188" t="s">
        <v>181</v>
      </c>
      <c r="F81" s="189">
        <v>1</v>
      </c>
      <c r="G81" s="268">
        <v>0</v>
      </c>
      <c r="H81" s="189">
        <f>F81*AN81</f>
        <v>0</v>
      </c>
      <c r="I81" s="189">
        <f>F81*AO81</f>
        <v>0</v>
      </c>
      <c r="J81" s="189">
        <f t="shared" ref="J81" si="1">F81*G81</f>
        <v>0</v>
      </c>
      <c r="K81" s="189">
        <v>6.7000000000000004E-2</v>
      </c>
      <c r="L81" s="189">
        <f>F81*K81</f>
        <v>6.7000000000000004E-2</v>
      </c>
      <c r="M81" s="176"/>
      <c r="Y81" s="178">
        <f>IF(AP81="5",BI81,0)</f>
        <v>0</v>
      </c>
      <c r="AA81" s="178">
        <f>IF(AP81="1",BG81,0)</f>
        <v>0</v>
      </c>
      <c r="AB81" s="178">
        <f>IF(AP81="1",BH81,0)</f>
        <v>0</v>
      </c>
      <c r="AC81" s="178">
        <f>IF(AP81="7",BG81,0)</f>
        <v>0</v>
      </c>
      <c r="AD81" s="178">
        <f>IF(AP81="7",BH81,0)</f>
        <v>0</v>
      </c>
      <c r="AE81" s="178">
        <f>IF(AP81="2",BG81,0)</f>
        <v>0</v>
      </c>
      <c r="AF81" s="178">
        <f>IF(AP81="2",BH81,0)</f>
        <v>0</v>
      </c>
      <c r="AG81" s="178">
        <f>IF(AP81="0",BI81,0)</f>
        <v>0</v>
      </c>
      <c r="AH81" s="179"/>
      <c r="AI81" s="189">
        <f>IF(AM81=0,J81,0)</f>
        <v>0</v>
      </c>
      <c r="AJ81" s="189">
        <f>IF(AM81=15,J81,0)</f>
        <v>0</v>
      </c>
      <c r="AK81" s="189">
        <f>IF(AM81=21,J81,0)</f>
        <v>0</v>
      </c>
      <c r="AM81" s="178">
        <v>21</v>
      </c>
      <c r="AN81" s="178">
        <f>G81*1</f>
        <v>0</v>
      </c>
      <c r="AO81" s="178">
        <f>G81*(1-1)</f>
        <v>0</v>
      </c>
      <c r="AP81" s="190" t="s">
        <v>189</v>
      </c>
      <c r="AU81" s="178">
        <f>AV81+AW81</f>
        <v>0</v>
      </c>
      <c r="AV81" s="178">
        <f>F81*AN81</f>
        <v>0</v>
      </c>
      <c r="AW81" s="178">
        <f>F81*AO81</f>
        <v>0</v>
      </c>
      <c r="AX81" s="181" t="s">
        <v>190</v>
      </c>
      <c r="AY81" s="181" t="s">
        <v>255</v>
      </c>
      <c r="AZ81" s="179" t="s">
        <v>113</v>
      </c>
      <c r="BB81" s="178">
        <f>AV81+AW81</f>
        <v>0</v>
      </c>
      <c r="BC81" s="178">
        <f>G81/(100-BD81)*100</f>
        <v>0</v>
      </c>
      <c r="BD81" s="178">
        <v>0</v>
      </c>
      <c r="BE81" s="178">
        <f>L81</f>
        <v>6.7000000000000004E-2</v>
      </c>
      <c r="BG81" s="189">
        <f>F81*AN81</f>
        <v>0</v>
      </c>
      <c r="BH81" s="189">
        <f>F81*AO81</f>
        <v>0</v>
      </c>
      <c r="BI81" s="189">
        <f>F81*G81</f>
        <v>0</v>
      </c>
      <c r="BJ81" s="189" t="s">
        <v>193</v>
      </c>
      <c r="BK81" s="178"/>
    </row>
    <row r="82" spans="1:64" s="125" customFormat="1" x14ac:dyDescent="0.25">
      <c r="A82" s="124"/>
      <c r="D82" s="133"/>
      <c r="F82" s="134"/>
      <c r="H82" s="129"/>
      <c r="L82" s="152"/>
      <c r="N82" s="137"/>
      <c r="O82" s="137"/>
    </row>
    <row r="83" spans="1:64" s="177" customFormat="1" x14ac:dyDescent="0.25">
      <c r="A83" s="126" t="s">
        <v>219</v>
      </c>
      <c r="B83" s="188"/>
      <c r="C83" s="188" t="s">
        <v>253</v>
      </c>
      <c r="D83" s="188" t="s">
        <v>254</v>
      </c>
      <c r="E83" s="188" t="s">
        <v>181</v>
      </c>
      <c r="F83" s="189">
        <v>4</v>
      </c>
      <c r="G83" s="268">
        <v>0</v>
      </c>
      <c r="H83" s="189">
        <f>F83*AN83</f>
        <v>0</v>
      </c>
      <c r="I83" s="189">
        <f>F83*AO83</f>
        <v>0</v>
      </c>
      <c r="J83" s="189">
        <f>F83*G83</f>
        <v>0</v>
      </c>
      <c r="K83" s="189">
        <v>4.8300000000000003E-2</v>
      </c>
      <c r="L83" s="189">
        <f>F83*K83</f>
        <v>0.19320000000000001</v>
      </c>
      <c r="M83" s="176"/>
      <c r="Y83" s="178">
        <f>IF(AP83="5",BI83,0)</f>
        <v>0</v>
      </c>
      <c r="AA83" s="178">
        <f>IF(AP83="1",BG83,0)</f>
        <v>0</v>
      </c>
      <c r="AB83" s="178">
        <f>IF(AP83="1",BH83,0)</f>
        <v>0</v>
      </c>
      <c r="AC83" s="178">
        <f>IF(AP83="7",BG83,0)</f>
        <v>0</v>
      </c>
      <c r="AD83" s="178">
        <f>IF(AP83="7",BH83,0)</f>
        <v>0</v>
      </c>
      <c r="AE83" s="178">
        <f>IF(AP83="2",BG83,0)</f>
        <v>0</v>
      </c>
      <c r="AF83" s="178">
        <f>IF(AP83="2",BH83,0)</f>
        <v>0</v>
      </c>
      <c r="AG83" s="178">
        <f>IF(AP83="0",BI83,0)</f>
        <v>0</v>
      </c>
      <c r="AH83" s="179"/>
      <c r="AI83" s="189">
        <f>IF(AM83=0,J83,0)</f>
        <v>0</v>
      </c>
      <c r="AJ83" s="189">
        <f>IF(AM83=15,J83,0)</f>
        <v>0</v>
      </c>
      <c r="AK83" s="189">
        <f>IF(AM83=21,J83,0)</f>
        <v>0</v>
      </c>
      <c r="AM83" s="178">
        <v>21</v>
      </c>
      <c r="AN83" s="178">
        <f>G83*1</f>
        <v>0</v>
      </c>
      <c r="AO83" s="178">
        <f>G83*(1-1)</f>
        <v>0</v>
      </c>
      <c r="AP83" s="190" t="s">
        <v>189</v>
      </c>
      <c r="AU83" s="178">
        <f>AV83+AW83</f>
        <v>0</v>
      </c>
      <c r="AV83" s="178">
        <f>F83*AN83</f>
        <v>0</v>
      </c>
      <c r="AW83" s="178">
        <f>F83*AO83</f>
        <v>0</v>
      </c>
      <c r="AX83" s="181" t="s">
        <v>190</v>
      </c>
      <c r="AY83" s="181" t="s">
        <v>255</v>
      </c>
      <c r="AZ83" s="179" t="s">
        <v>113</v>
      </c>
      <c r="BB83" s="178">
        <f>AV83+AW83</f>
        <v>0</v>
      </c>
      <c r="BC83" s="178">
        <f>G83/(100-BD83)*100</f>
        <v>0</v>
      </c>
      <c r="BD83" s="178">
        <v>0</v>
      </c>
      <c r="BE83" s="178">
        <f>L83</f>
        <v>0.19320000000000001</v>
      </c>
      <c r="BG83" s="189">
        <f>F83*AN83</f>
        <v>0</v>
      </c>
      <c r="BH83" s="189">
        <f>F83*AO83</f>
        <v>0</v>
      </c>
      <c r="BI83" s="189">
        <f>F83*G83</f>
        <v>0</v>
      </c>
      <c r="BJ83" s="189" t="s">
        <v>193</v>
      </c>
      <c r="BK83" s="178"/>
    </row>
    <row r="84" spans="1:64" s="125" customFormat="1" x14ac:dyDescent="0.25">
      <c r="A84" s="124"/>
      <c r="D84" s="133"/>
      <c r="F84" s="134"/>
      <c r="H84" s="129"/>
      <c r="L84" s="152"/>
      <c r="N84" s="137"/>
      <c r="O84" s="137"/>
    </row>
    <row r="85" spans="1:64" s="125" customFormat="1" x14ac:dyDescent="0.25">
      <c r="A85" s="126" t="s">
        <v>275</v>
      </c>
      <c r="B85" s="127"/>
      <c r="C85" s="128" t="s">
        <v>194</v>
      </c>
      <c r="D85" s="135" t="s">
        <v>195</v>
      </c>
      <c r="E85" s="128" t="s">
        <v>181</v>
      </c>
      <c r="F85" s="129">
        <v>9</v>
      </c>
      <c r="G85" s="269">
        <v>0</v>
      </c>
      <c r="H85" s="129">
        <f t="shared" ref="H85" si="2">F85*G85</f>
        <v>0</v>
      </c>
      <c r="I85" s="129">
        <v>0</v>
      </c>
      <c r="J85" s="129">
        <f>F85*G85</f>
        <v>0</v>
      </c>
      <c r="K85" s="129">
        <v>8.1970000000000001E-2</v>
      </c>
      <c r="L85" s="151">
        <f>F85*K85</f>
        <v>0.73773</v>
      </c>
      <c r="M85" s="129"/>
      <c r="N85" s="131"/>
      <c r="O85" s="137"/>
      <c r="Z85" s="130">
        <f>IF(AQ85="5",BJ85,0)</f>
        <v>0</v>
      </c>
      <c r="AB85" s="130">
        <f>IF(AQ85="1",BH85,0)</f>
        <v>0</v>
      </c>
      <c r="AC85" s="130">
        <f>IF(AQ85="1",BI85,0)</f>
        <v>0</v>
      </c>
      <c r="AD85" s="130">
        <f>IF(AQ85="7",BH85,0)</f>
        <v>0</v>
      </c>
      <c r="AE85" s="130">
        <f>IF(AQ85="7",BI85,0)</f>
        <v>0</v>
      </c>
      <c r="AF85" s="130">
        <f>IF(AQ85="2",BH85,0)</f>
        <v>0</v>
      </c>
      <c r="AG85" s="130">
        <f>IF(AQ85="2",BI85,0)</f>
        <v>0</v>
      </c>
      <c r="AH85" s="130">
        <f>IF(AQ85="0",BJ85,0)</f>
        <v>0</v>
      </c>
      <c r="AI85" s="123" t="s">
        <v>188</v>
      </c>
      <c r="AJ85" s="129">
        <f>IF(AN85=0,K85,0)</f>
        <v>0</v>
      </c>
      <c r="AK85" s="129">
        <f>IF(AN85=15,K85,0)</f>
        <v>0</v>
      </c>
      <c r="AL85" s="129">
        <f>IF(AN85=21,K85,0)</f>
        <v>8.1970000000000001E-2</v>
      </c>
      <c r="AN85" s="130">
        <v>21</v>
      </c>
      <c r="AO85" s="130">
        <f>H85*1</f>
        <v>0</v>
      </c>
      <c r="AP85" s="130">
        <f>H85*(1-1)</f>
        <v>0</v>
      </c>
      <c r="AQ85" s="131" t="s">
        <v>189</v>
      </c>
      <c r="AV85" s="130">
        <f>AW85+AX85</f>
        <v>0</v>
      </c>
      <c r="AW85" s="130">
        <f>G85*AO85</f>
        <v>0</v>
      </c>
      <c r="AX85" s="130">
        <f>G85*AP85</f>
        <v>0</v>
      </c>
      <c r="AY85" s="132" t="s">
        <v>190</v>
      </c>
      <c r="AZ85" s="132" t="s">
        <v>191</v>
      </c>
      <c r="BA85" s="123" t="s">
        <v>192</v>
      </c>
      <c r="BC85" s="130">
        <f>AW85+AX85</f>
        <v>0</v>
      </c>
      <c r="BD85" s="130">
        <f>H85/(100-BE85)*100</f>
        <v>0</v>
      </c>
      <c r="BE85" s="130">
        <v>0</v>
      </c>
      <c r="BF85" s="130">
        <f>M85</f>
        <v>0</v>
      </c>
      <c r="BH85" s="129">
        <f>G85*AO85</f>
        <v>0</v>
      </c>
      <c r="BI85" s="129">
        <f>G85*AP85</f>
        <v>0</v>
      </c>
      <c r="BJ85" s="129">
        <f>G85*H85</f>
        <v>0</v>
      </c>
      <c r="BK85" s="129" t="s">
        <v>193</v>
      </c>
      <c r="BL85" s="130"/>
    </row>
    <row r="86" spans="1:64" x14ac:dyDescent="0.25">
      <c r="A86" s="5"/>
      <c r="C86" s="16"/>
      <c r="D86" s="209"/>
      <c r="E86" s="210"/>
      <c r="F86" s="210"/>
      <c r="G86" s="210"/>
      <c r="H86" s="210"/>
      <c r="I86" s="210"/>
      <c r="J86" s="210"/>
      <c r="K86" s="210"/>
      <c r="L86" s="211"/>
      <c r="M86" s="72"/>
    </row>
    <row r="87" spans="1:64" x14ac:dyDescent="0.25">
      <c r="A87" s="6"/>
      <c r="B87" s="14"/>
      <c r="C87" s="14" t="s">
        <v>31</v>
      </c>
      <c r="D87" s="14" t="s">
        <v>62</v>
      </c>
      <c r="E87" s="22" t="s">
        <v>6</v>
      </c>
      <c r="F87" s="22" t="s">
        <v>6</v>
      </c>
      <c r="G87" s="22" t="s">
        <v>6</v>
      </c>
      <c r="H87" s="38">
        <f>SUM(H88:H88)</f>
        <v>0</v>
      </c>
      <c r="I87" s="38">
        <f>SUM(I88:I88)</f>
        <v>0</v>
      </c>
      <c r="J87" s="38">
        <f>SUM(J88:J88)</f>
        <v>0</v>
      </c>
      <c r="K87" s="30"/>
      <c r="L87" s="97">
        <f>SUM(L88:L88)</f>
        <v>0</v>
      </c>
      <c r="M87" s="72"/>
      <c r="AH87" s="30"/>
      <c r="AR87" s="38">
        <f>SUM(AI88:AI88)</f>
        <v>0</v>
      </c>
      <c r="AS87" s="38">
        <f>SUM(AJ88:AJ88)</f>
        <v>0</v>
      </c>
      <c r="AT87" s="38">
        <f>SUM(AK88:AK88)</f>
        <v>0</v>
      </c>
    </row>
    <row r="88" spans="1:64" x14ac:dyDescent="0.25">
      <c r="A88" s="73" t="s">
        <v>222</v>
      </c>
      <c r="B88" s="73"/>
      <c r="C88" s="73" t="s">
        <v>32</v>
      </c>
      <c r="D88" s="73" t="s">
        <v>63</v>
      </c>
      <c r="E88" s="73" t="s">
        <v>75</v>
      </c>
      <c r="F88" s="77">
        <f>L77+L68+L61+L45+L53</f>
        <v>270.39938000000001</v>
      </c>
      <c r="G88" s="270">
        <v>0</v>
      </c>
      <c r="H88" s="77">
        <f>F88*AN88</f>
        <v>0</v>
      </c>
      <c r="I88" s="77">
        <f>F88*AO88</f>
        <v>0</v>
      </c>
      <c r="J88" s="77">
        <f>F88*G88</f>
        <v>0</v>
      </c>
      <c r="K88" s="77">
        <v>0</v>
      </c>
      <c r="L88" s="148">
        <f>F88*K88</f>
        <v>0</v>
      </c>
      <c r="M88" s="72"/>
      <c r="Y88" s="33">
        <f>IF(AP88="5",BI88,0)</f>
        <v>0</v>
      </c>
      <c r="AA88" s="33">
        <f>IF(AP88="1",BG88,0)</f>
        <v>0</v>
      </c>
      <c r="AB88" s="33">
        <f>IF(AP88="1",BH88,0)</f>
        <v>0</v>
      </c>
      <c r="AC88" s="33">
        <f>IF(AP88="7",BG88,0)</f>
        <v>0</v>
      </c>
      <c r="AD88" s="33">
        <f>IF(AP88="7",BH88,0)</f>
        <v>0</v>
      </c>
      <c r="AE88" s="33">
        <f>IF(AP88="2",BG88,0)</f>
        <v>0</v>
      </c>
      <c r="AF88" s="33">
        <f>IF(AP88="2",BH88,0)</f>
        <v>0</v>
      </c>
      <c r="AG88" s="33">
        <f>IF(AP88="0",BI88,0)</f>
        <v>0</v>
      </c>
      <c r="AH88" s="30"/>
      <c r="AI88" s="23">
        <f>IF(AM88=0,J88,0)</f>
        <v>0</v>
      </c>
      <c r="AJ88" s="23">
        <f>IF(AM88=15,J88,0)</f>
        <v>0</v>
      </c>
      <c r="AK88" s="23">
        <f>IF(AM88=21,J88,0)</f>
        <v>0</v>
      </c>
      <c r="AM88" s="33">
        <v>21</v>
      </c>
      <c r="AN88" s="33">
        <f>G88*0</f>
        <v>0</v>
      </c>
      <c r="AO88" s="33">
        <f>G88*(1-0)</f>
        <v>0</v>
      </c>
      <c r="AP88" s="34" t="s">
        <v>11</v>
      </c>
      <c r="AU88" s="33">
        <f>AV88+AW88</f>
        <v>0</v>
      </c>
      <c r="AV88" s="33">
        <f>F88*AN88</f>
        <v>0</v>
      </c>
      <c r="AW88" s="33">
        <f>F88*AO88</f>
        <v>0</v>
      </c>
      <c r="AX88" s="35" t="s">
        <v>107</v>
      </c>
      <c r="AY88" s="35" t="s">
        <v>112</v>
      </c>
      <c r="AZ88" s="30" t="s">
        <v>113</v>
      </c>
      <c r="BB88" s="33">
        <f>AV88+AW88</f>
        <v>0</v>
      </c>
      <c r="BC88" s="33">
        <f>G88/(100-BD88)*100</f>
        <v>0</v>
      </c>
      <c r="BD88" s="33">
        <v>0</v>
      </c>
      <c r="BE88" s="33">
        <f>L88</f>
        <v>0</v>
      </c>
      <c r="BG88" s="23">
        <f>F88*AN88</f>
        <v>0</v>
      </c>
      <c r="BH88" s="23">
        <f>F88*AO88</f>
        <v>0</v>
      </c>
      <c r="BI88" s="23">
        <f>F88*G88</f>
        <v>0</v>
      </c>
      <c r="BJ88" s="23" t="s">
        <v>118</v>
      </c>
      <c r="BK88" s="33" t="s">
        <v>31</v>
      </c>
    </row>
    <row r="89" spans="1:64" x14ac:dyDescent="0.25">
      <c r="A89" s="74"/>
      <c r="B89" s="75"/>
      <c r="C89" s="75"/>
      <c r="D89" s="76"/>
      <c r="E89" s="75"/>
      <c r="F89" s="78"/>
      <c r="G89" s="75"/>
      <c r="H89" s="75"/>
      <c r="I89" s="75"/>
      <c r="J89" s="75"/>
      <c r="K89" s="75"/>
      <c r="L89" s="149"/>
      <c r="M89" s="72"/>
    </row>
    <row r="90" spans="1:64" x14ac:dyDescent="0.25">
      <c r="A90" s="6"/>
      <c r="B90" s="14"/>
      <c r="C90" s="14" t="s">
        <v>33</v>
      </c>
      <c r="D90" s="14" t="s">
        <v>64</v>
      </c>
      <c r="E90" s="22" t="s">
        <v>6</v>
      </c>
      <c r="F90" s="22" t="s">
        <v>6</v>
      </c>
      <c r="G90" s="22" t="s">
        <v>6</v>
      </c>
      <c r="H90" s="38">
        <f>SUM(H91:H98)</f>
        <v>0</v>
      </c>
      <c r="I90" s="38">
        <f>SUM(I91:I98)</f>
        <v>0</v>
      </c>
      <c r="J90" s="38">
        <f>SUM(J91:J98)</f>
        <v>0</v>
      </c>
      <c r="K90" s="30"/>
      <c r="L90" s="97">
        <f>SUM(L91:L98)</f>
        <v>0</v>
      </c>
      <c r="M90" s="72"/>
      <c r="AH90" s="30"/>
      <c r="AR90" s="38">
        <f>SUM(AI91:AI98)</f>
        <v>0</v>
      </c>
      <c r="AS90" s="38">
        <f>SUM(AJ91:AJ98)</f>
        <v>0</v>
      </c>
      <c r="AT90" s="38">
        <f>SUM(AK91:AK98)</f>
        <v>0</v>
      </c>
    </row>
    <row r="91" spans="1:64" x14ac:dyDescent="0.25">
      <c r="A91" s="4" t="s">
        <v>224</v>
      </c>
      <c r="B91" s="13"/>
      <c r="C91" s="13" t="s">
        <v>34</v>
      </c>
      <c r="D91" s="13" t="s">
        <v>65</v>
      </c>
      <c r="E91" s="13" t="s">
        <v>75</v>
      </c>
      <c r="F91" s="23">
        <f>L30</f>
        <v>196.98999999999998</v>
      </c>
      <c r="G91" s="259">
        <v>0</v>
      </c>
      <c r="H91" s="23">
        <f>F91*AN91</f>
        <v>0</v>
      </c>
      <c r="I91" s="23">
        <f>F91*AO91</f>
        <v>0</v>
      </c>
      <c r="J91" s="23">
        <f>F91*G91</f>
        <v>0</v>
      </c>
      <c r="K91" s="23">
        <v>0</v>
      </c>
      <c r="L91" s="23">
        <f>F91*K91</f>
        <v>0</v>
      </c>
      <c r="M91" s="5"/>
      <c r="Y91" s="33">
        <f>IF(AP91="5",BI91,0)</f>
        <v>0</v>
      </c>
      <c r="AA91" s="33">
        <f>IF(AP91="1",BG91,0)</f>
        <v>0</v>
      </c>
      <c r="AB91" s="33">
        <f>IF(AP91="1",BH91,0)</f>
        <v>0</v>
      </c>
      <c r="AC91" s="33">
        <f>IF(AP91="7",BG91,0)</f>
        <v>0</v>
      </c>
      <c r="AD91" s="33">
        <f>IF(AP91="7",BH91,0)</f>
        <v>0</v>
      </c>
      <c r="AE91" s="33">
        <f>IF(AP91="2",BG91,0)</f>
        <v>0</v>
      </c>
      <c r="AF91" s="33">
        <f>IF(AP91="2",BH91,0)</f>
        <v>0</v>
      </c>
      <c r="AG91" s="33">
        <f>IF(AP91="0",BI91,0)</f>
        <v>0</v>
      </c>
      <c r="AH91" s="30"/>
      <c r="AI91" s="23">
        <f>IF(AM91=0,J91,0)</f>
        <v>0</v>
      </c>
      <c r="AJ91" s="23">
        <f>IF(AM91=15,J91,0)</f>
        <v>0</v>
      </c>
      <c r="AK91" s="23">
        <f>IF(AM91=21,J91,0)</f>
        <v>0</v>
      </c>
      <c r="AM91" s="33">
        <v>21</v>
      </c>
      <c r="AN91" s="33">
        <f>G91*0</f>
        <v>0</v>
      </c>
      <c r="AO91" s="33">
        <f>G91*(1-0)</f>
        <v>0</v>
      </c>
      <c r="AP91" s="34" t="s">
        <v>11</v>
      </c>
      <c r="AU91" s="33">
        <f>AV91+AW91</f>
        <v>0</v>
      </c>
      <c r="AV91" s="33">
        <f>F91*AN91</f>
        <v>0</v>
      </c>
      <c r="AW91" s="33">
        <f>F91*AO91</f>
        <v>0</v>
      </c>
      <c r="AX91" s="35" t="s">
        <v>108</v>
      </c>
      <c r="AY91" s="35" t="s">
        <v>112</v>
      </c>
      <c r="AZ91" s="30" t="s">
        <v>113</v>
      </c>
      <c r="BB91" s="33">
        <f>AV91+AW91</f>
        <v>0</v>
      </c>
      <c r="BC91" s="33">
        <f>G91/(100-BD91)*100</f>
        <v>0</v>
      </c>
      <c r="BD91" s="33">
        <v>0</v>
      </c>
      <c r="BE91" s="33">
        <f>L91</f>
        <v>0</v>
      </c>
      <c r="BG91" s="23">
        <f>F91*AN91</f>
        <v>0</v>
      </c>
      <c r="BH91" s="23">
        <f>F91*AO91</f>
        <v>0</v>
      </c>
      <c r="BI91" s="23">
        <f>F91*G91</f>
        <v>0</v>
      </c>
      <c r="BJ91" s="23" t="s">
        <v>118</v>
      </c>
      <c r="BK91" s="33" t="s">
        <v>33</v>
      </c>
    </row>
    <row r="92" spans="1:64" x14ac:dyDescent="0.25">
      <c r="A92" s="4" t="s">
        <v>225</v>
      </c>
      <c r="B92" s="13"/>
      <c r="C92" s="13" t="s">
        <v>35</v>
      </c>
      <c r="D92" s="13" t="s">
        <v>66</v>
      </c>
      <c r="E92" s="13" t="s">
        <v>75</v>
      </c>
      <c r="F92" s="23">
        <f>F91*10</f>
        <v>1969.8999999999999</v>
      </c>
      <c r="G92" s="259">
        <v>0</v>
      </c>
      <c r="H92" s="23">
        <f>F92*AN92</f>
        <v>0</v>
      </c>
      <c r="I92" s="23">
        <f>F92*AO92</f>
        <v>0</v>
      </c>
      <c r="J92" s="23">
        <f>F92*G92</f>
        <v>0</v>
      </c>
      <c r="K92" s="23">
        <v>0</v>
      </c>
      <c r="L92" s="23">
        <f>F92*K92</f>
        <v>0</v>
      </c>
      <c r="M92" s="5"/>
      <c r="Y92" s="33">
        <f>IF(AP92="5",BI92,0)</f>
        <v>0</v>
      </c>
      <c r="AA92" s="33">
        <f>IF(AP92="1",BG92,0)</f>
        <v>0</v>
      </c>
      <c r="AB92" s="33">
        <f>IF(AP92="1",BH92,0)</f>
        <v>0</v>
      </c>
      <c r="AC92" s="33">
        <f>IF(AP92="7",BG92,0)</f>
        <v>0</v>
      </c>
      <c r="AD92" s="33">
        <f>IF(AP92="7",BH92,0)</f>
        <v>0</v>
      </c>
      <c r="AE92" s="33">
        <f>IF(AP92="2",BG92,0)</f>
        <v>0</v>
      </c>
      <c r="AF92" s="33">
        <f>IF(AP92="2",BH92,0)</f>
        <v>0</v>
      </c>
      <c r="AG92" s="33">
        <f>IF(AP92="0",BI92,0)</f>
        <v>0</v>
      </c>
      <c r="AH92" s="30"/>
      <c r="AI92" s="23">
        <f>IF(AM92=0,J92,0)</f>
        <v>0</v>
      </c>
      <c r="AJ92" s="23">
        <f>IF(AM92=15,J92,0)</f>
        <v>0</v>
      </c>
      <c r="AK92" s="23">
        <f>IF(AM92=21,J92,0)</f>
        <v>0</v>
      </c>
      <c r="AM92" s="33">
        <v>21</v>
      </c>
      <c r="AN92" s="33">
        <f>G92*0</f>
        <v>0</v>
      </c>
      <c r="AO92" s="33">
        <f>G92*(1-0)</f>
        <v>0</v>
      </c>
      <c r="AP92" s="34" t="s">
        <v>11</v>
      </c>
      <c r="AU92" s="33">
        <f>AV92+AW92</f>
        <v>0</v>
      </c>
      <c r="AV92" s="33">
        <f>F92*AN92</f>
        <v>0</v>
      </c>
      <c r="AW92" s="33">
        <f>F92*AO92</f>
        <v>0</v>
      </c>
      <c r="AX92" s="35" t="s">
        <v>108</v>
      </c>
      <c r="AY92" s="35" t="s">
        <v>112</v>
      </c>
      <c r="AZ92" s="30" t="s">
        <v>113</v>
      </c>
      <c r="BB92" s="33">
        <f>AV92+AW92</f>
        <v>0</v>
      </c>
      <c r="BC92" s="33">
        <f>G92/(100-BD92)*100</f>
        <v>0</v>
      </c>
      <c r="BD92" s="33">
        <v>0</v>
      </c>
      <c r="BE92" s="33">
        <f>L92</f>
        <v>0</v>
      </c>
      <c r="BG92" s="23">
        <f>F92*AN92</f>
        <v>0</v>
      </c>
      <c r="BH92" s="23">
        <f>F92*AO92</f>
        <v>0</v>
      </c>
      <c r="BI92" s="23">
        <f>F92*G92</f>
        <v>0</v>
      </c>
      <c r="BJ92" s="23" t="s">
        <v>118</v>
      </c>
      <c r="BK92" s="33" t="s">
        <v>33</v>
      </c>
    </row>
    <row r="93" spans="1:64" s="79" customFormat="1" x14ac:dyDescent="0.25">
      <c r="A93" s="4"/>
      <c r="B93" s="13"/>
      <c r="C93" s="13"/>
      <c r="D93" s="19" t="s">
        <v>210</v>
      </c>
      <c r="F93" s="24"/>
      <c r="G93" s="81"/>
      <c r="H93" s="81"/>
      <c r="I93" s="81"/>
      <c r="J93" s="81"/>
      <c r="K93" s="81"/>
      <c r="L93" s="81"/>
      <c r="M93" s="5"/>
      <c r="Y93" s="33"/>
      <c r="AA93" s="33"/>
      <c r="AB93" s="33"/>
      <c r="AC93" s="33"/>
      <c r="AD93" s="33"/>
      <c r="AE93" s="33"/>
      <c r="AF93" s="33"/>
      <c r="AG93" s="33"/>
      <c r="AH93" s="30"/>
      <c r="AI93" s="81"/>
      <c r="AJ93" s="81"/>
      <c r="AK93" s="81"/>
      <c r="AM93" s="33"/>
      <c r="AN93" s="33"/>
      <c r="AO93" s="33"/>
      <c r="AP93" s="34"/>
      <c r="AU93" s="33"/>
      <c r="AV93" s="33"/>
      <c r="AW93" s="33"/>
      <c r="AX93" s="35"/>
      <c r="AY93" s="35"/>
      <c r="AZ93" s="30"/>
      <c r="BB93" s="33"/>
      <c r="BC93" s="33"/>
      <c r="BD93" s="33"/>
      <c r="BE93" s="33"/>
      <c r="BG93" s="81"/>
      <c r="BH93" s="81"/>
      <c r="BI93" s="81"/>
      <c r="BJ93" s="81"/>
      <c r="BK93" s="33"/>
    </row>
    <row r="94" spans="1:64" s="79" customFormat="1" x14ac:dyDescent="0.25">
      <c r="A94" s="4" t="s">
        <v>276</v>
      </c>
      <c r="B94" s="127"/>
      <c r="C94" s="127" t="s">
        <v>196</v>
      </c>
      <c r="D94" s="140" t="s">
        <v>197</v>
      </c>
      <c r="E94" s="127" t="s">
        <v>75</v>
      </c>
      <c r="F94" s="139">
        <f>L39+L42</f>
        <v>14.67</v>
      </c>
      <c r="G94" s="262">
        <v>0</v>
      </c>
      <c r="H94" s="139">
        <f>F94*AN94</f>
        <v>0</v>
      </c>
      <c r="I94" s="139">
        <f>F94*G94</f>
        <v>0</v>
      </c>
      <c r="J94" s="139">
        <f>F94*G94</f>
        <v>0</v>
      </c>
      <c r="K94" s="139">
        <v>0</v>
      </c>
      <c r="L94" s="145">
        <f>F94*K94</f>
        <v>0</v>
      </c>
      <c r="M94" s="139"/>
      <c r="N94" s="141"/>
      <c r="O94" s="95"/>
      <c r="Y94" s="33"/>
      <c r="AA94" s="33"/>
      <c r="AB94" s="33"/>
      <c r="AC94" s="33"/>
      <c r="AD94" s="33"/>
      <c r="AE94" s="33"/>
      <c r="AF94" s="33"/>
      <c r="AG94" s="33"/>
      <c r="AH94" s="30"/>
      <c r="AI94" s="81"/>
      <c r="AJ94" s="81"/>
      <c r="AK94" s="81"/>
      <c r="AM94" s="33"/>
      <c r="AN94" s="33"/>
      <c r="AO94" s="33"/>
      <c r="AP94" s="34"/>
      <c r="AU94" s="33"/>
      <c r="AV94" s="33"/>
      <c r="AW94" s="33"/>
      <c r="AX94" s="35"/>
      <c r="AY94" s="35"/>
      <c r="AZ94" s="30"/>
      <c r="BB94" s="33"/>
      <c r="BC94" s="33"/>
      <c r="BD94" s="33"/>
      <c r="BE94" s="33"/>
      <c r="BG94" s="81"/>
      <c r="BH94" s="81"/>
      <c r="BI94" s="81"/>
      <c r="BJ94" s="81"/>
      <c r="BK94" s="33"/>
    </row>
    <row r="95" spans="1:64" s="79" customFormat="1" x14ac:dyDescent="0.25">
      <c r="A95" s="4"/>
      <c r="B95" s="13"/>
      <c r="C95" s="13"/>
      <c r="D95" s="159" t="s">
        <v>249</v>
      </c>
      <c r="E95" s="13"/>
      <c r="F95" s="81"/>
      <c r="G95" s="81"/>
      <c r="H95" s="81"/>
      <c r="I95" s="81"/>
      <c r="J95" s="81"/>
      <c r="K95" s="81"/>
      <c r="L95" s="94"/>
      <c r="M95" s="72"/>
      <c r="Y95" s="33"/>
      <c r="AA95" s="33"/>
      <c r="AB95" s="33"/>
      <c r="AC95" s="33"/>
      <c r="AD95" s="33"/>
      <c r="AE95" s="33"/>
      <c r="AF95" s="33"/>
      <c r="AG95" s="33"/>
      <c r="AH95" s="30"/>
      <c r="AI95" s="81"/>
      <c r="AJ95" s="81"/>
      <c r="AK95" s="81"/>
      <c r="AM95" s="33"/>
      <c r="AN95" s="33"/>
      <c r="AO95" s="33"/>
      <c r="AP95" s="34"/>
      <c r="AU95" s="33"/>
      <c r="AV95" s="33"/>
      <c r="AW95" s="33"/>
      <c r="AX95" s="35"/>
      <c r="AY95" s="35"/>
      <c r="AZ95" s="30"/>
      <c r="BB95" s="33"/>
      <c r="BC95" s="33"/>
      <c r="BD95" s="33"/>
      <c r="BE95" s="33"/>
      <c r="BG95" s="81"/>
      <c r="BH95" s="81"/>
      <c r="BI95" s="81"/>
      <c r="BJ95" s="81"/>
      <c r="BK95" s="33"/>
    </row>
    <row r="96" spans="1:64" s="79" customFormat="1" x14ac:dyDescent="0.25">
      <c r="A96" s="4"/>
      <c r="B96" s="13"/>
      <c r="C96" s="13"/>
      <c r="D96" s="13"/>
      <c r="E96" s="13"/>
      <c r="F96" s="81"/>
      <c r="G96" s="81"/>
      <c r="H96" s="81"/>
      <c r="I96" s="81"/>
      <c r="J96" s="81"/>
      <c r="K96" s="81"/>
      <c r="L96" s="81"/>
      <c r="M96" s="5"/>
      <c r="Y96" s="33"/>
      <c r="AA96" s="33"/>
      <c r="AB96" s="33"/>
      <c r="AC96" s="33"/>
      <c r="AD96" s="33"/>
      <c r="AE96" s="33"/>
      <c r="AF96" s="33"/>
      <c r="AG96" s="33"/>
      <c r="AH96" s="30"/>
      <c r="AI96" s="81"/>
      <c r="AJ96" s="81"/>
      <c r="AK96" s="81"/>
      <c r="AM96" s="33"/>
      <c r="AN96" s="33"/>
      <c r="AO96" s="33"/>
      <c r="AP96" s="34"/>
      <c r="AU96" s="33"/>
      <c r="AV96" s="33"/>
      <c r="AW96" s="33"/>
      <c r="AX96" s="35"/>
      <c r="AY96" s="35"/>
      <c r="AZ96" s="30"/>
      <c r="BB96" s="33"/>
      <c r="BC96" s="33"/>
      <c r="BD96" s="33"/>
      <c r="BE96" s="33"/>
      <c r="BG96" s="81"/>
      <c r="BH96" s="81"/>
      <c r="BI96" s="81"/>
      <c r="BJ96" s="81"/>
      <c r="BK96" s="33"/>
    </row>
    <row r="97" spans="1:63" s="79" customFormat="1" x14ac:dyDescent="0.25">
      <c r="A97" s="4"/>
      <c r="B97" s="13"/>
      <c r="C97" s="13"/>
      <c r="D97" s="13"/>
      <c r="E97" s="13"/>
      <c r="F97" s="81"/>
      <c r="G97" s="81"/>
      <c r="H97" s="81"/>
      <c r="I97" s="81"/>
      <c r="J97" s="81"/>
      <c r="K97" s="81"/>
      <c r="L97" s="81"/>
      <c r="M97" s="5"/>
      <c r="Y97" s="33"/>
      <c r="AA97" s="33"/>
      <c r="AB97" s="33"/>
      <c r="AC97" s="33"/>
      <c r="AD97" s="33"/>
      <c r="AE97" s="33"/>
      <c r="AF97" s="33"/>
      <c r="AG97" s="33"/>
      <c r="AH97" s="30"/>
      <c r="AI97" s="81"/>
      <c r="AJ97" s="81"/>
      <c r="AK97" s="81"/>
      <c r="AM97" s="33"/>
      <c r="AN97" s="33"/>
      <c r="AO97" s="33"/>
      <c r="AP97" s="34"/>
      <c r="AU97" s="33"/>
      <c r="AV97" s="33"/>
      <c r="AW97" s="33"/>
      <c r="AX97" s="35"/>
      <c r="AY97" s="35"/>
      <c r="AZ97" s="30"/>
      <c r="BB97" s="33"/>
      <c r="BC97" s="33"/>
      <c r="BD97" s="33"/>
      <c r="BE97" s="33"/>
      <c r="BG97" s="81"/>
      <c r="BH97" s="81"/>
      <c r="BI97" s="81"/>
      <c r="BJ97" s="81"/>
      <c r="BK97" s="33"/>
    </row>
    <row r="98" spans="1:63" x14ac:dyDescent="0.25">
      <c r="A98" s="5"/>
      <c r="D98" s="19"/>
      <c r="F98" s="24"/>
      <c r="M98" s="5"/>
    </row>
    <row r="99" spans="1:63" x14ac:dyDescent="0.25">
      <c r="A99" s="8"/>
      <c r="B99" s="8"/>
      <c r="C99" s="8"/>
      <c r="D99" s="8"/>
      <c r="E99" s="8"/>
      <c r="F99" s="8"/>
      <c r="G99" s="8"/>
      <c r="H99" s="218" t="s">
        <v>85</v>
      </c>
      <c r="I99" s="219"/>
      <c r="J99" s="39">
        <f>ROUND(J12+J27+J30+J45+J68+J87+J90+J77+J61+J53,0)</f>
        <v>0</v>
      </c>
      <c r="K99" s="8"/>
      <c r="L99" s="8"/>
    </row>
    <row r="100" spans="1:63" ht="11.25" customHeight="1" x14ac:dyDescent="0.25">
      <c r="A100" s="9" t="s">
        <v>18</v>
      </c>
    </row>
    <row r="101" spans="1:63" x14ac:dyDescent="0.25">
      <c r="A101" s="204" t="s">
        <v>19</v>
      </c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</row>
  </sheetData>
  <sheetProtection algorithmName="SHA-512" hashValue="xYOA2LG5rXbyGN1cVn7Y7KvansGCcN67HaaJWl9pmGmdlauzhbzg8fY8xEl+T7H26DNcyEzw8Talu+Nc8lMsMQ==" saltValue="h0u5QVMbgZ0iVA4JpfJ2Ew==" spinCount="100000" sheet="1" objects="1" scenarios="1"/>
  <mergeCells count="47">
    <mergeCell ref="D44:L44"/>
    <mergeCell ref="D55:L55"/>
    <mergeCell ref="D57:L57"/>
    <mergeCell ref="H99:I99"/>
    <mergeCell ref="A101:L101"/>
    <mergeCell ref="D86:L86"/>
    <mergeCell ref="D77:E77"/>
    <mergeCell ref="D61:E61"/>
    <mergeCell ref="C72:L72"/>
    <mergeCell ref="D63:L63"/>
    <mergeCell ref="C74:D74"/>
    <mergeCell ref="D66:L66"/>
    <mergeCell ref="D22:L22"/>
    <mergeCell ref="D24:L24"/>
    <mergeCell ref="D26:L26"/>
    <mergeCell ref="D29:L29"/>
    <mergeCell ref="A8:C9"/>
    <mergeCell ref="D8:D9"/>
    <mergeCell ref="E8:F9"/>
    <mergeCell ref="G8:G9"/>
    <mergeCell ref="H8:H9"/>
    <mergeCell ref="D20:L20"/>
    <mergeCell ref="I8:L9"/>
    <mergeCell ref="H10:J10"/>
    <mergeCell ref="K10:L10"/>
    <mergeCell ref="D14:L14"/>
    <mergeCell ref="D16:L16"/>
    <mergeCell ref="D18:L18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A1:L1"/>
    <mergeCell ref="A2:C3"/>
    <mergeCell ref="D2:D3"/>
    <mergeCell ref="E2:F3"/>
    <mergeCell ref="G2:G3"/>
    <mergeCell ref="H2:H3"/>
    <mergeCell ref="I2:L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10" topLeftCell="A11" activePane="bottomLeft" state="frozenSplit"/>
      <selection pane="bottomLeft" activeCell="D20" sqref="D20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10" ht="72.900000000000006" customHeight="1" x14ac:dyDescent="0.25">
      <c r="A1" s="1" t="s">
        <v>120</v>
      </c>
      <c r="B1" s="195"/>
      <c r="C1" s="195"/>
      <c r="D1" s="195"/>
      <c r="E1" s="195"/>
      <c r="F1" s="195"/>
      <c r="G1" s="195"/>
    </row>
    <row r="2" spans="1:10" x14ac:dyDescent="0.25">
      <c r="A2" s="196" t="s">
        <v>1</v>
      </c>
      <c r="B2" s="228" t="str">
        <f>'Stavební rozpočet'!D2</f>
        <v>Oprava  komunikace a chodníku ul. Mahlerova-východní část</v>
      </c>
      <c r="C2" s="219"/>
      <c r="D2" s="203" t="s">
        <v>79</v>
      </c>
      <c r="E2" s="203" t="str">
        <f>'Stavební rozpočet'!I2</f>
        <v>Statutární město Jihlava</v>
      </c>
      <c r="F2" s="197"/>
      <c r="G2" s="229"/>
      <c r="H2" s="5"/>
    </row>
    <row r="3" spans="1:10" x14ac:dyDescent="0.25">
      <c r="A3" s="198"/>
      <c r="B3" s="201"/>
      <c r="C3" s="201"/>
      <c r="D3" s="199"/>
      <c r="E3" s="199"/>
      <c r="F3" s="199"/>
      <c r="G3" s="208"/>
      <c r="H3" s="5"/>
    </row>
    <row r="4" spans="1:10" x14ac:dyDescent="0.25">
      <c r="A4" s="205" t="s">
        <v>2</v>
      </c>
      <c r="B4" s="204" t="str">
        <f>'Stavební rozpočet'!D4</f>
        <v xml:space="preserve"> </v>
      </c>
      <c r="C4" s="199"/>
      <c r="D4" s="204" t="s">
        <v>80</v>
      </c>
      <c r="E4" s="204" t="str">
        <f>'Stavební rozpočet'!I4</f>
        <v> </v>
      </c>
      <c r="F4" s="199"/>
      <c r="G4" s="208"/>
      <c r="H4" s="5"/>
    </row>
    <row r="5" spans="1:10" x14ac:dyDescent="0.25">
      <c r="A5" s="198"/>
      <c r="B5" s="199"/>
      <c r="C5" s="199"/>
      <c r="D5" s="199"/>
      <c r="E5" s="199"/>
      <c r="F5" s="199"/>
      <c r="G5" s="208"/>
      <c r="H5" s="5"/>
    </row>
    <row r="6" spans="1:10" x14ac:dyDescent="0.25">
      <c r="A6" s="205" t="s">
        <v>3</v>
      </c>
      <c r="B6" s="204" t="str">
        <f>'Stavební rozpočet'!D6</f>
        <v>Jihlava</v>
      </c>
      <c r="C6" s="199"/>
      <c r="D6" s="204" t="s">
        <v>81</v>
      </c>
      <c r="E6" s="204" t="str">
        <f>'Stavební rozpočet'!I6</f>
        <v>dle výběrového řízení</v>
      </c>
      <c r="F6" s="199"/>
      <c r="G6" s="208"/>
      <c r="H6" s="5"/>
    </row>
    <row r="7" spans="1:10" x14ac:dyDescent="0.25">
      <c r="A7" s="198"/>
      <c r="B7" s="199"/>
      <c r="C7" s="199"/>
      <c r="D7" s="199"/>
      <c r="E7" s="199"/>
      <c r="F7" s="199"/>
      <c r="G7" s="208"/>
      <c r="H7" s="5"/>
    </row>
    <row r="8" spans="1:10" x14ac:dyDescent="0.25">
      <c r="A8" s="205" t="s">
        <v>82</v>
      </c>
      <c r="B8" s="204" t="str">
        <f>'Stavební rozpočet'!I8</f>
        <v>Ing. Bc. Karel Trojan</v>
      </c>
      <c r="C8" s="199"/>
      <c r="D8" s="206" t="s">
        <v>70</v>
      </c>
      <c r="E8" s="204" t="str">
        <f>'Stavební rozpočet'!G8</f>
        <v>15.12.2025</v>
      </c>
      <c r="F8" s="199"/>
      <c r="G8" s="208"/>
      <c r="H8" s="5"/>
    </row>
    <row r="9" spans="1:10" ht="13.8" thickBot="1" x14ac:dyDescent="0.3">
      <c r="A9" s="212"/>
      <c r="B9" s="213"/>
      <c r="C9" s="213"/>
      <c r="D9" s="213"/>
      <c r="E9" s="213"/>
      <c r="F9" s="213"/>
      <c r="G9" s="230"/>
      <c r="H9" s="5"/>
    </row>
    <row r="10" spans="1:10" ht="13.8" thickBot="1" x14ac:dyDescent="0.3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10" x14ac:dyDescent="0.25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20" si="0">IF(H11="F",0,F11)</f>
        <v>0</v>
      </c>
      <c r="J11" s="83"/>
    </row>
    <row r="12" spans="1:10" x14ac:dyDescent="0.25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  <c r="J12" s="83"/>
    </row>
    <row r="13" spans="1:10" x14ac:dyDescent="0.25">
      <c r="A13" s="42"/>
      <c r="B13" s="20" t="s">
        <v>17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196.98999999999998</v>
      </c>
      <c r="H13" s="50" t="s">
        <v>126</v>
      </c>
      <c r="I13" s="33">
        <f t="shared" si="0"/>
        <v>0</v>
      </c>
      <c r="J13" s="83"/>
    </row>
    <row r="14" spans="1:10" x14ac:dyDescent="0.25">
      <c r="A14" s="42"/>
      <c r="B14" s="20" t="s">
        <v>27</v>
      </c>
      <c r="C14" s="87" t="s">
        <v>57</v>
      </c>
      <c r="D14" s="33">
        <f>'Stavební rozpočet'!H45</f>
        <v>0</v>
      </c>
      <c r="E14" s="33">
        <f>'Stavební rozpočet'!I45</f>
        <v>0</v>
      </c>
      <c r="F14" s="33">
        <f>'Stavební rozpočet'!J45</f>
        <v>0</v>
      </c>
      <c r="G14" s="54">
        <f>'Stavební rozpočet'!L45</f>
        <v>218.04154</v>
      </c>
      <c r="H14" s="50" t="s">
        <v>126</v>
      </c>
      <c r="I14" s="33">
        <f t="shared" si="0"/>
        <v>0</v>
      </c>
      <c r="J14" s="83"/>
    </row>
    <row r="15" spans="1:10" s="79" customFormat="1" x14ac:dyDescent="0.25">
      <c r="A15" s="42"/>
      <c r="B15" s="117" t="s">
        <v>217</v>
      </c>
      <c r="C15" s="87" t="s">
        <v>218</v>
      </c>
      <c r="D15" s="33">
        <f>'Stavební rozpočet'!H53</f>
        <v>0</v>
      </c>
      <c r="E15" s="33">
        <f>'Stavební rozpočet'!I53</f>
        <v>0</v>
      </c>
      <c r="F15" s="33">
        <f>'Stavební rozpočet'!J53</f>
        <v>0</v>
      </c>
      <c r="G15" s="54">
        <f>'Stavební rozpočet'!L53</f>
        <v>28.42267</v>
      </c>
      <c r="H15" s="50"/>
      <c r="I15" s="33"/>
      <c r="J15" s="83"/>
    </row>
    <row r="16" spans="1:10" s="79" customFormat="1" x14ac:dyDescent="0.25">
      <c r="A16" s="42"/>
      <c r="B16" s="91" t="s">
        <v>178</v>
      </c>
      <c r="C16" s="87" t="s">
        <v>179</v>
      </c>
      <c r="D16" s="33">
        <f>'Stavební rozpočet'!H68</f>
        <v>0</v>
      </c>
      <c r="E16" s="33">
        <f>'Stavební rozpočet'!I68</f>
        <v>0</v>
      </c>
      <c r="F16" s="33">
        <f>'Stavební rozpočet'!J68</f>
        <v>0</v>
      </c>
      <c r="G16" s="54">
        <f>'Stavební rozpočet'!L68</f>
        <v>18.155239999999999</v>
      </c>
      <c r="H16" s="50"/>
      <c r="I16" s="33"/>
      <c r="J16" s="83"/>
    </row>
    <row r="17" spans="1:10" x14ac:dyDescent="0.25">
      <c r="A17" s="42"/>
      <c r="B17" s="20" t="s">
        <v>29</v>
      </c>
      <c r="C17" s="20" t="s">
        <v>60</v>
      </c>
      <c r="D17" s="33">
        <f>'Stavební rozpočet'!H61</f>
        <v>0</v>
      </c>
      <c r="E17" s="33">
        <f>'Stavební rozpočet'!I61</f>
        <v>0</v>
      </c>
      <c r="F17" s="33">
        <f>'Stavební rozpočet'!J61</f>
        <v>0</v>
      </c>
      <c r="G17" s="54">
        <f>'Stavební rozpočet'!L61</f>
        <v>4.7149999999999999</v>
      </c>
      <c r="H17" s="50" t="s">
        <v>126</v>
      </c>
      <c r="I17" s="33">
        <f t="shared" si="0"/>
        <v>0</v>
      </c>
      <c r="J17" s="83"/>
    </row>
    <row r="18" spans="1:10" x14ac:dyDescent="0.25">
      <c r="A18" s="42"/>
      <c r="B18" s="20" t="s">
        <v>31</v>
      </c>
      <c r="C18" s="20" t="s">
        <v>62</v>
      </c>
      <c r="D18" s="33">
        <f>'Stavební rozpočet'!H87</f>
        <v>0</v>
      </c>
      <c r="E18" s="33">
        <f>'Stavební rozpočet'!I87</f>
        <v>0</v>
      </c>
      <c r="F18" s="33">
        <f>'Stavební rozpočet'!J87</f>
        <v>0</v>
      </c>
      <c r="G18" s="54">
        <f>'Stavební rozpočet'!L87</f>
        <v>0</v>
      </c>
      <c r="H18" s="50" t="s">
        <v>126</v>
      </c>
      <c r="I18" s="33">
        <f t="shared" si="0"/>
        <v>0</v>
      </c>
      <c r="J18" s="83"/>
    </row>
    <row r="19" spans="1:10" s="79" customFormat="1" x14ac:dyDescent="0.25">
      <c r="A19" s="42"/>
      <c r="B19" s="117"/>
      <c r="C19" s="117" t="s">
        <v>132</v>
      </c>
      <c r="D19" s="33">
        <f>'Stavební rozpočet'!H77</f>
        <v>0</v>
      </c>
      <c r="E19" s="33">
        <f>'Stavební rozpočet'!I77</f>
        <v>0</v>
      </c>
      <c r="F19" s="33">
        <f>'Stavební rozpočet'!J77</f>
        <v>0</v>
      </c>
      <c r="G19" s="54">
        <f>'Stavební rozpočet'!L77</f>
        <v>1.0649299999999999</v>
      </c>
      <c r="H19" s="50"/>
      <c r="I19" s="33"/>
      <c r="J19" s="83"/>
    </row>
    <row r="20" spans="1:10" x14ac:dyDescent="0.25">
      <c r="A20" s="43"/>
      <c r="B20" s="46" t="s">
        <v>33</v>
      </c>
      <c r="C20" s="46" t="s">
        <v>64</v>
      </c>
      <c r="D20" s="52">
        <f>'Stavební rozpočet'!H90</f>
        <v>0</v>
      </c>
      <c r="E20" s="52">
        <f>'Stavební rozpočet'!I90</f>
        <v>0</v>
      </c>
      <c r="F20" s="52">
        <f>'Stavební rozpočet'!J90</f>
        <v>0</v>
      </c>
      <c r="G20" s="55">
        <f>'Stavební rozpočet'!L90</f>
        <v>0</v>
      </c>
      <c r="H20" s="50" t="s">
        <v>126</v>
      </c>
      <c r="I20" s="33">
        <f t="shared" si="0"/>
        <v>0</v>
      </c>
      <c r="J20" s="83"/>
    </row>
    <row r="21" spans="1:10" x14ac:dyDescent="0.25">
      <c r="A21" s="82" t="s">
        <v>85</v>
      </c>
      <c r="B21" s="8"/>
      <c r="C21" s="8"/>
      <c r="D21" s="89">
        <f>SUM(D11:D20)</f>
        <v>0</v>
      </c>
      <c r="E21" s="89">
        <f>SUM(E11:E20)</f>
        <v>0</v>
      </c>
      <c r="F21" s="89">
        <f>SUM(F11:F20)</f>
        <v>0</v>
      </c>
      <c r="G21" s="8"/>
    </row>
    <row r="22" spans="1:10" x14ac:dyDescent="0.25">
      <c r="E22" s="83"/>
    </row>
    <row r="23" spans="1:10" x14ac:dyDescent="0.25">
      <c r="D23" s="83"/>
      <c r="E23" s="83"/>
    </row>
    <row r="24" spans="1:10" x14ac:dyDescent="0.25">
      <c r="E24" s="83"/>
    </row>
    <row r="25" spans="1:10" x14ac:dyDescent="0.25">
      <c r="E25" s="83"/>
    </row>
    <row r="26" spans="1:10" x14ac:dyDescent="0.25">
      <c r="E26" s="83"/>
    </row>
    <row r="27" spans="1:10" x14ac:dyDescent="0.25">
      <c r="E27" s="83"/>
    </row>
  </sheetData>
  <sheetProtection algorithmName="SHA-512" hashValue="oAr9Gy5LqzjtLXYmv7cAnRnGMblTFVyO+b1tgPHFTqhEijlIW3901dOE8fXlCR6hPQClC/qYJS+kwHKzs0o9uQ==" saltValue="KFXzvXjz8mDWzA7Qg6iSXA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4" workbookViewId="0">
      <selection activeCell="I10" sqref="I10:I11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231" t="s">
        <v>142</v>
      </c>
      <c r="D1" s="195"/>
      <c r="E1" s="195"/>
      <c r="F1" s="195"/>
      <c r="G1" s="195"/>
      <c r="H1" s="195"/>
      <c r="I1" s="195"/>
    </row>
    <row r="2" spans="1:10" x14ac:dyDescent="0.25">
      <c r="A2" s="196" t="s">
        <v>1</v>
      </c>
      <c r="B2" s="197"/>
      <c r="C2" s="232" t="str">
        <f>'Stavební rozpočet'!D2</f>
        <v>Oprava  komunikace a chodníku ul. Mahlerova-východní část</v>
      </c>
      <c r="D2" s="233"/>
      <c r="E2" s="203" t="s">
        <v>79</v>
      </c>
      <c r="F2" s="203" t="str">
        <f>'Stavební rozpočet'!I2</f>
        <v>Statutární město Jihlava</v>
      </c>
      <c r="G2" s="197"/>
      <c r="H2" s="203" t="s">
        <v>167</v>
      </c>
      <c r="I2" s="235" t="s">
        <v>171</v>
      </c>
      <c r="J2" s="5"/>
    </row>
    <row r="3" spans="1:10" x14ac:dyDescent="0.25">
      <c r="A3" s="198"/>
      <c r="B3" s="199"/>
      <c r="C3" s="234"/>
      <c r="D3" s="234"/>
      <c r="E3" s="199"/>
      <c r="F3" s="199"/>
      <c r="G3" s="199"/>
      <c r="H3" s="199"/>
      <c r="I3" s="208"/>
      <c r="J3" s="5"/>
    </row>
    <row r="4" spans="1:10" x14ac:dyDescent="0.25">
      <c r="A4" s="205" t="s">
        <v>2</v>
      </c>
      <c r="B4" s="199"/>
      <c r="C4" s="204" t="str">
        <f>'Stavební rozpočet'!D4</f>
        <v xml:space="preserve"> </v>
      </c>
      <c r="D4" s="199"/>
      <c r="E4" s="204" t="s">
        <v>80</v>
      </c>
      <c r="F4" s="204" t="str">
        <f>'Stavební rozpočet'!I4</f>
        <v> </v>
      </c>
      <c r="G4" s="199"/>
      <c r="H4" s="204" t="s">
        <v>167</v>
      </c>
      <c r="I4" s="207"/>
      <c r="J4" s="5"/>
    </row>
    <row r="5" spans="1:10" x14ac:dyDescent="0.25">
      <c r="A5" s="198"/>
      <c r="B5" s="199"/>
      <c r="C5" s="199"/>
      <c r="D5" s="199"/>
      <c r="E5" s="199"/>
      <c r="F5" s="199"/>
      <c r="G5" s="199"/>
      <c r="H5" s="199"/>
      <c r="I5" s="208"/>
      <c r="J5" s="5"/>
    </row>
    <row r="6" spans="1:10" x14ac:dyDescent="0.25">
      <c r="A6" s="205" t="s">
        <v>3</v>
      </c>
      <c r="B6" s="199"/>
      <c r="C6" s="204" t="str">
        <f>'Stavební rozpočet'!D6</f>
        <v>Jihlava</v>
      </c>
      <c r="D6" s="199"/>
      <c r="E6" s="204" t="s">
        <v>81</v>
      </c>
      <c r="F6" s="204" t="str">
        <f>'Stavební rozpočet'!I6</f>
        <v>dle výběrového řízení</v>
      </c>
      <c r="G6" s="199"/>
      <c r="H6" s="204" t="s">
        <v>167</v>
      </c>
      <c r="I6" s="207"/>
      <c r="J6" s="5"/>
    </row>
    <row r="7" spans="1:10" x14ac:dyDescent="0.25">
      <c r="A7" s="198"/>
      <c r="B7" s="199"/>
      <c r="C7" s="199"/>
      <c r="D7" s="199"/>
      <c r="E7" s="199"/>
      <c r="F7" s="199"/>
      <c r="G7" s="199"/>
      <c r="H7" s="199"/>
      <c r="I7" s="208"/>
      <c r="J7" s="5"/>
    </row>
    <row r="8" spans="1:10" x14ac:dyDescent="0.25">
      <c r="A8" s="205" t="s">
        <v>68</v>
      </c>
      <c r="B8" s="199"/>
      <c r="C8" s="204" t="str">
        <f>'Stavební rozpočet'!G4</f>
        <v xml:space="preserve"> </v>
      </c>
      <c r="D8" s="199"/>
      <c r="E8" s="204" t="s">
        <v>69</v>
      </c>
      <c r="F8" s="204" t="str">
        <f>'Stavební rozpočet'!G6</f>
        <v xml:space="preserve"> </v>
      </c>
      <c r="G8" s="199"/>
      <c r="H8" s="206" t="s">
        <v>168</v>
      </c>
      <c r="I8" s="207" t="s">
        <v>276</v>
      </c>
      <c r="J8" s="5"/>
    </row>
    <row r="9" spans="1:10" x14ac:dyDescent="0.25">
      <c r="A9" s="198"/>
      <c r="B9" s="199"/>
      <c r="C9" s="199"/>
      <c r="D9" s="199"/>
      <c r="E9" s="199"/>
      <c r="F9" s="199"/>
      <c r="G9" s="199"/>
      <c r="H9" s="199"/>
      <c r="I9" s="208"/>
      <c r="J9" s="5"/>
    </row>
    <row r="10" spans="1:10" x14ac:dyDescent="0.25">
      <c r="A10" s="205" t="s">
        <v>4</v>
      </c>
      <c r="B10" s="199"/>
      <c r="C10" s="204" t="str">
        <f>'Stavební rozpočet'!D8</f>
        <v xml:space="preserve"> </v>
      </c>
      <c r="D10" s="199"/>
      <c r="E10" s="204" t="s">
        <v>82</v>
      </c>
      <c r="F10" s="204" t="str">
        <f>'Stavební rozpočet'!I8</f>
        <v>Ing. Bc. Karel Trojan</v>
      </c>
      <c r="G10" s="199"/>
      <c r="H10" s="206" t="s">
        <v>169</v>
      </c>
      <c r="I10" s="236" t="str">
        <f>'Stavební rozpočet'!G8</f>
        <v>15.12.2025</v>
      </c>
      <c r="J10" s="5"/>
    </row>
    <row r="11" spans="1:10" x14ac:dyDescent="0.25">
      <c r="A11" s="238"/>
      <c r="B11" s="239"/>
      <c r="C11" s="239"/>
      <c r="D11" s="239"/>
      <c r="E11" s="239"/>
      <c r="F11" s="239"/>
      <c r="G11" s="239"/>
      <c r="H11" s="239"/>
      <c r="I11" s="237"/>
      <c r="J11" s="5"/>
    </row>
    <row r="12" spans="1:10" ht="23.4" customHeight="1" x14ac:dyDescent="0.25">
      <c r="A12" s="240" t="s">
        <v>127</v>
      </c>
      <c r="B12" s="241"/>
      <c r="C12" s="241"/>
      <c r="D12" s="241"/>
      <c r="E12" s="241"/>
      <c r="F12" s="241"/>
      <c r="G12" s="241"/>
      <c r="H12" s="241"/>
      <c r="I12" s="241"/>
    </row>
    <row r="13" spans="1:10" ht="26.4" customHeight="1" x14ac:dyDescent="0.25">
      <c r="A13" s="56" t="s">
        <v>128</v>
      </c>
      <c r="B13" s="242" t="s">
        <v>140</v>
      </c>
      <c r="C13" s="243"/>
      <c r="D13" s="56" t="s">
        <v>143</v>
      </c>
      <c r="E13" s="242" t="s">
        <v>152</v>
      </c>
      <c r="F13" s="243"/>
      <c r="G13" s="56" t="s">
        <v>153</v>
      </c>
      <c r="H13" s="242" t="s">
        <v>170</v>
      </c>
      <c r="I13" s="243"/>
      <c r="J13" s="5"/>
    </row>
    <row r="14" spans="1:10" ht="15.15" customHeight="1" x14ac:dyDescent="0.25">
      <c r="A14" s="57" t="s">
        <v>129</v>
      </c>
      <c r="B14" s="61" t="s">
        <v>141</v>
      </c>
      <c r="C14" s="64">
        <f>'Stavební rozpočet - součet'!D21</f>
        <v>0</v>
      </c>
      <c r="D14" s="244" t="s">
        <v>144</v>
      </c>
      <c r="E14" s="245"/>
      <c r="F14" s="64">
        <v>0</v>
      </c>
      <c r="G14" s="244" t="s">
        <v>154</v>
      </c>
      <c r="H14" s="245"/>
      <c r="I14" s="64">
        <v>0</v>
      </c>
      <c r="J14" s="5"/>
    </row>
    <row r="15" spans="1:10" ht="15.15" customHeight="1" x14ac:dyDescent="0.25">
      <c r="A15" s="58"/>
      <c r="B15" s="61" t="s">
        <v>89</v>
      </c>
      <c r="C15" s="64">
        <f>'Stavební rozpočet - součet'!E21-'Stavební rozpočet - součet'!E20</f>
        <v>0</v>
      </c>
      <c r="D15" s="244" t="s">
        <v>145</v>
      </c>
      <c r="E15" s="245"/>
      <c r="F15" s="64">
        <v>0</v>
      </c>
      <c r="G15" s="244" t="s">
        <v>155</v>
      </c>
      <c r="H15" s="245"/>
      <c r="I15" s="64">
        <v>0</v>
      </c>
      <c r="J15" s="5"/>
    </row>
    <row r="16" spans="1:10" ht="15.15" customHeight="1" x14ac:dyDescent="0.25">
      <c r="A16" s="57" t="s">
        <v>130</v>
      </c>
      <c r="B16" s="61" t="s">
        <v>141</v>
      </c>
      <c r="C16" s="64">
        <f>SUM('Stavební rozpočet'!AD11:AD97)</f>
        <v>0</v>
      </c>
      <c r="D16" s="244" t="s">
        <v>146</v>
      </c>
      <c r="E16" s="245"/>
      <c r="F16" s="64">
        <v>0</v>
      </c>
      <c r="G16" s="244" t="s">
        <v>156</v>
      </c>
      <c r="H16" s="245"/>
      <c r="I16" s="64">
        <v>0</v>
      </c>
      <c r="J16" s="5"/>
    </row>
    <row r="17" spans="1:10" ht="15.15" customHeight="1" x14ac:dyDescent="0.25">
      <c r="A17" s="58"/>
      <c r="B17" s="61" t="s">
        <v>89</v>
      </c>
      <c r="C17" s="64">
        <f>SUM('Stavební rozpočet'!AD12:AD98)</f>
        <v>0</v>
      </c>
      <c r="D17" s="244"/>
      <c r="E17" s="245"/>
      <c r="F17" s="65"/>
      <c r="G17" s="244" t="s">
        <v>157</v>
      </c>
      <c r="H17" s="245"/>
      <c r="I17" s="64">
        <v>0</v>
      </c>
      <c r="J17" s="5"/>
    </row>
    <row r="18" spans="1:10" ht="15.15" customHeight="1" x14ac:dyDescent="0.25">
      <c r="A18" s="57" t="s">
        <v>131</v>
      </c>
      <c r="B18" s="61" t="s">
        <v>141</v>
      </c>
      <c r="C18" s="64">
        <f>SUM('Stavební rozpočet'!AE12:AE98)</f>
        <v>0</v>
      </c>
      <c r="D18" s="244"/>
      <c r="E18" s="245"/>
      <c r="F18" s="65"/>
      <c r="G18" s="244" t="s">
        <v>158</v>
      </c>
      <c r="H18" s="245"/>
      <c r="I18" s="64">
        <v>0</v>
      </c>
      <c r="J18" s="5"/>
    </row>
    <row r="19" spans="1:10" ht="15.15" customHeight="1" x14ac:dyDescent="0.25">
      <c r="A19" s="58"/>
      <c r="B19" s="61" t="s">
        <v>89</v>
      </c>
      <c r="C19" s="64">
        <f>SUM('Stavební rozpočet'!AF12:AF98)</f>
        <v>0</v>
      </c>
      <c r="D19" s="244"/>
      <c r="E19" s="245"/>
      <c r="F19" s="65"/>
      <c r="G19" s="244" t="s">
        <v>159</v>
      </c>
      <c r="H19" s="245"/>
      <c r="I19" s="64">
        <v>0</v>
      </c>
      <c r="J19" s="5"/>
    </row>
    <row r="20" spans="1:10" ht="15.15" customHeight="1" x14ac:dyDescent="0.25">
      <c r="A20" s="246" t="s">
        <v>132</v>
      </c>
      <c r="B20" s="247"/>
      <c r="C20" s="64">
        <f>SUM('Stavební rozpočet'!AF13:AF99)</f>
        <v>0</v>
      </c>
      <c r="D20" s="244"/>
      <c r="E20" s="245"/>
      <c r="F20" s="65"/>
      <c r="G20" s="244"/>
      <c r="H20" s="245"/>
      <c r="I20" s="65"/>
      <c r="J20" s="5"/>
    </row>
    <row r="21" spans="1:10" ht="15.15" customHeight="1" x14ac:dyDescent="0.25">
      <c r="A21" s="246" t="s">
        <v>133</v>
      </c>
      <c r="B21" s="247"/>
      <c r="C21" s="64">
        <f>'Stavební rozpočet - součet'!E20</f>
        <v>0</v>
      </c>
      <c r="D21" s="244"/>
      <c r="E21" s="245"/>
      <c r="F21" s="65"/>
      <c r="G21" s="244"/>
      <c r="H21" s="245"/>
      <c r="I21" s="65"/>
      <c r="J21" s="5"/>
    </row>
    <row r="22" spans="1:10" ht="16.649999999999999" customHeight="1" x14ac:dyDescent="0.25">
      <c r="A22" s="246" t="s">
        <v>134</v>
      </c>
      <c r="B22" s="247"/>
      <c r="C22" s="64">
        <f>ROUND(SUM(C14:C21),0)</f>
        <v>0</v>
      </c>
      <c r="D22" s="246" t="s">
        <v>147</v>
      </c>
      <c r="E22" s="247"/>
      <c r="F22" s="64">
        <f>SUM(F14:F21)</f>
        <v>0</v>
      </c>
      <c r="G22" s="246" t="s">
        <v>160</v>
      </c>
      <c r="H22" s="247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246" t="s">
        <v>148</v>
      </c>
      <c r="E23" s="247"/>
      <c r="F23" s="66">
        <v>0</v>
      </c>
      <c r="G23" s="246" t="s">
        <v>161</v>
      </c>
      <c r="H23" s="247"/>
      <c r="I23" s="64">
        <v>0</v>
      </c>
      <c r="J23" s="5"/>
    </row>
    <row r="24" spans="1:10" ht="15.15" customHeight="1" x14ac:dyDescent="0.25">
      <c r="D24" s="8"/>
      <c r="E24" s="8"/>
      <c r="F24" s="67"/>
      <c r="G24" s="246" t="s">
        <v>162</v>
      </c>
      <c r="H24" s="247"/>
      <c r="I24" s="64">
        <v>0</v>
      </c>
      <c r="J24" s="5"/>
    </row>
    <row r="25" spans="1:10" ht="15.15" customHeight="1" x14ac:dyDescent="0.25">
      <c r="F25" s="31"/>
      <c r="G25" s="246" t="s">
        <v>163</v>
      </c>
      <c r="H25" s="247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248" t="s">
        <v>135</v>
      </c>
      <c r="B27" s="249"/>
      <c r="C27" s="68">
        <f>ROUND(SUM('Stavební rozpočet'!AI12:AI98),0)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248" t="s">
        <v>136</v>
      </c>
      <c r="B28" s="249"/>
      <c r="C28" s="68">
        <f>ROUND(SUM('Stavební rozpočet'!AJ12:AJ98),0)</f>
        <v>0</v>
      </c>
      <c r="D28" s="248" t="s">
        <v>149</v>
      </c>
      <c r="E28" s="249"/>
      <c r="F28" s="68">
        <f>ROUND(C28*(15/100),2)</f>
        <v>0</v>
      </c>
      <c r="G28" s="248" t="s">
        <v>164</v>
      </c>
      <c r="H28" s="249"/>
      <c r="I28" s="68">
        <f>ROUND(SUM(C27:C29),0)</f>
        <v>0</v>
      </c>
      <c r="J28" s="5"/>
    </row>
    <row r="29" spans="1:10" ht="15.15" customHeight="1" x14ac:dyDescent="0.25">
      <c r="A29" s="248" t="s">
        <v>137</v>
      </c>
      <c r="B29" s="249"/>
      <c r="C29" s="68">
        <f>C22</f>
        <v>0</v>
      </c>
      <c r="D29" s="248" t="s">
        <v>150</v>
      </c>
      <c r="E29" s="249"/>
      <c r="F29" s="68">
        <f>ROUND(C29*(21/100),2)</f>
        <v>0</v>
      </c>
      <c r="G29" s="248" t="s">
        <v>165</v>
      </c>
      <c r="H29" s="249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250" t="s">
        <v>138</v>
      </c>
      <c r="B31" s="251"/>
      <c r="C31" s="252"/>
      <c r="D31" s="250" t="s">
        <v>151</v>
      </c>
      <c r="E31" s="251"/>
      <c r="F31" s="252"/>
      <c r="G31" s="250" t="s">
        <v>166</v>
      </c>
      <c r="H31" s="251"/>
      <c r="I31" s="252"/>
      <c r="J31" s="32"/>
    </row>
    <row r="32" spans="1:10" ht="14.4" customHeight="1" x14ac:dyDescent="0.25">
      <c r="A32" s="253"/>
      <c r="B32" s="254"/>
      <c r="C32" s="255"/>
      <c r="D32" s="253"/>
      <c r="E32" s="254"/>
      <c r="F32" s="255"/>
      <c r="G32" s="253"/>
      <c r="H32" s="254"/>
      <c r="I32" s="255"/>
      <c r="J32" s="32"/>
    </row>
    <row r="33" spans="1:10" ht="14.4" customHeight="1" x14ac:dyDescent="0.25">
      <c r="A33" s="253"/>
      <c r="B33" s="254"/>
      <c r="C33" s="255"/>
      <c r="D33" s="253"/>
      <c r="E33" s="254"/>
      <c r="F33" s="255"/>
      <c r="G33" s="253"/>
      <c r="H33" s="254"/>
      <c r="I33" s="255"/>
      <c r="J33" s="32"/>
    </row>
    <row r="34" spans="1:10" ht="14.4" customHeight="1" x14ac:dyDescent="0.25">
      <c r="A34" s="253"/>
      <c r="B34" s="254"/>
      <c r="C34" s="255"/>
      <c r="D34" s="253"/>
      <c r="E34" s="254"/>
      <c r="F34" s="255"/>
      <c r="G34" s="253"/>
      <c r="H34" s="254"/>
      <c r="I34" s="255"/>
      <c r="J34" s="32"/>
    </row>
    <row r="35" spans="1:10" ht="14.4" customHeight="1" x14ac:dyDescent="0.25">
      <c r="A35" s="256" t="s">
        <v>139</v>
      </c>
      <c r="B35" s="257"/>
      <c r="C35" s="258"/>
      <c r="D35" s="256" t="s">
        <v>139</v>
      </c>
      <c r="E35" s="257"/>
      <c r="F35" s="258"/>
      <c r="G35" s="256" t="s">
        <v>139</v>
      </c>
      <c r="H35" s="257"/>
      <c r="I35" s="258"/>
      <c r="J35" s="32"/>
    </row>
    <row r="36" spans="1:10" ht="11.25" customHeight="1" x14ac:dyDescent="0.25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204" t="s">
        <v>19</v>
      </c>
      <c r="B37" s="199"/>
      <c r="C37" s="199"/>
      <c r="D37" s="199"/>
      <c r="E37" s="199"/>
      <c r="F37" s="199"/>
      <c r="G37" s="199"/>
      <c r="H37" s="199"/>
      <c r="I37" s="199"/>
    </row>
  </sheetData>
  <sheetProtection algorithmName="SHA-512" hashValue="qEaMuITg+v8v0NwGMWK26renB7f9ihqS7UlwQSHDWcpIe7bvf7+NU36E6rMngdQ/ji9qikU9Jxwfpy96wfc/PQ==" saltValue="sm6jZwjNb+l2AZfS65Akjg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2026-04-19T12:15:02Z</dcterms:modified>
</cp:coreProperties>
</file>