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ojan.karel\Desktop\Rozpočtové práce 2024\Opravy komunikací 2024\Havlíčkova\"/>
    </mc:Choice>
  </mc:AlternateContent>
  <bookViews>
    <workbookView xWindow="-120" yWindow="-120" windowWidth="38640" windowHeight="21240"/>
  </bookViews>
  <sheets>
    <sheet name="Stavební rozpočet" sheetId="1" r:id="rId1"/>
    <sheet name="Stavební rozpočet - součet" sheetId="2" r:id="rId2"/>
    <sheet name="Krycí list rozpočtu" sheetId="5" r:id="rId3"/>
  </sheets>
  <calcPr calcId="162913"/>
</workbook>
</file>

<file path=xl/calcChain.xml><?xml version="1.0" encoding="utf-8"?>
<calcChain xmlns="http://schemas.openxmlformats.org/spreadsheetml/2006/main">
  <c r="I59" i="1" l="1"/>
  <c r="I58" i="1"/>
  <c r="H59" i="1"/>
  <c r="H58" i="1"/>
  <c r="H57" i="1" l="1"/>
  <c r="K48" i="1"/>
  <c r="BI54" i="1"/>
  <c r="BC54" i="1"/>
  <c r="AO54" i="1"/>
  <c r="BH54" i="1" s="1"/>
  <c r="AB54" i="1" s="1"/>
  <c r="AN54" i="1"/>
  <c r="BG54" i="1" s="1"/>
  <c r="AA54" i="1" s="1"/>
  <c r="AJ54" i="1"/>
  <c r="AI54" i="1"/>
  <c r="AG54" i="1"/>
  <c r="AF54" i="1"/>
  <c r="AE54" i="1"/>
  <c r="AD54" i="1"/>
  <c r="AC54" i="1"/>
  <c r="Y54" i="1"/>
  <c r="BE54" i="1"/>
  <c r="J54" i="1"/>
  <c r="AK54" i="1" s="1"/>
  <c r="I57" i="1"/>
  <c r="J58" i="1"/>
  <c r="L58" i="1"/>
  <c r="AW54" i="1" l="1"/>
  <c r="I54" i="1"/>
  <c r="AV54" i="1"/>
  <c r="H54" i="1"/>
  <c r="AU54" i="1" l="1"/>
  <c r="BB54" i="1"/>
  <c r="L36" i="1"/>
  <c r="J36" i="1"/>
  <c r="I36" i="1"/>
  <c r="BI43" i="1" l="1"/>
  <c r="BC43" i="1"/>
  <c r="AO43" i="1"/>
  <c r="BH43" i="1" s="1"/>
  <c r="AB43" i="1" s="1"/>
  <c r="AN43" i="1"/>
  <c r="BG43" i="1" s="1"/>
  <c r="AA43" i="1" s="1"/>
  <c r="AJ43" i="1"/>
  <c r="AI43" i="1"/>
  <c r="AG43" i="1"/>
  <c r="AF43" i="1"/>
  <c r="AE43" i="1"/>
  <c r="AD43" i="1"/>
  <c r="AC43" i="1"/>
  <c r="Y43" i="1"/>
  <c r="L43" i="1"/>
  <c r="BE43" i="1" s="1"/>
  <c r="J43" i="1"/>
  <c r="AK43" i="1" s="1"/>
  <c r="AW43" i="1" l="1"/>
  <c r="AV43" i="1"/>
  <c r="AU43" i="1" s="1"/>
  <c r="H43" i="1"/>
  <c r="I43" i="1"/>
  <c r="J42" i="1"/>
  <c r="L42" i="1"/>
  <c r="BE42" i="1" s="1"/>
  <c r="Y42" i="1"/>
  <c r="AC42" i="1"/>
  <c r="AD42" i="1"/>
  <c r="AE42" i="1"/>
  <c r="AF42" i="1"/>
  <c r="AG42" i="1"/>
  <c r="AI42" i="1"/>
  <c r="AJ42" i="1"/>
  <c r="AK42" i="1"/>
  <c r="AN42" i="1"/>
  <c r="AV42" i="1" s="1"/>
  <c r="AO42" i="1"/>
  <c r="AW42" i="1" s="1"/>
  <c r="BC42" i="1"/>
  <c r="BI42" i="1"/>
  <c r="BB43" i="1" l="1"/>
  <c r="BG42" i="1"/>
  <c r="AA42" i="1" s="1"/>
  <c r="BH42" i="1"/>
  <c r="AB42" i="1" s="1"/>
  <c r="I42" i="1"/>
  <c r="H42" i="1"/>
  <c r="BB42" i="1"/>
  <c r="AU42" i="1"/>
  <c r="BI51" i="1"/>
  <c r="BC51" i="1"/>
  <c r="AO51" i="1"/>
  <c r="I51" i="1" s="1"/>
  <c r="AN51" i="1"/>
  <c r="BG51" i="1" s="1"/>
  <c r="AA51" i="1" s="1"/>
  <c r="AJ51" i="1"/>
  <c r="AI51" i="1"/>
  <c r="AG51" i="1"/>
  <c r="AF51" i="1"/>
  <c r="AE51" i="1"/>
  <c r="AD51" i="1"/>
  <c r="AC51" i="1"/>
  <c r="Y51" i="1"/>
  <c r="L51" i="1"/>
  <c r="BE51" i="1" s="1"/>
  <c r="J51" i="1"/>
  <c r="AK51" i="1" s="1"/>
  <c r="I44" i="1"/>
  <c r="I45" i="1"/>
  <c r="H44" i="1"/>
  <c r="H45" i="1"/>
  <c r="H51" i="1" l="1"/>
  <c r="AW51" i="1"/>
  <c r="BH51" i="1"/>
  <c r="AB51" i="1" s="1"/>
  <c r="AV51" i="1"/>
  <c r="AU51" i="1" l="1"/>
  <c r="BB51" i="1"/>
  <c r="L45" i="1" l="1"/>
  <c r="J45" i="1"/>
  <c r="L44" i="1"/>
  <c r="J44" i="1"/>
  <c r="I35" i="1" l="1"/>
  <c r="I62" i="1"/>
  <c r="E18" i="2" s="1"/>
  <c r="J49" i="1"/>
  <c r="J48" i="1" s="1"/>
  <c r="I49" i="1"/>
  <c r="H49" i="1"/>
  <c r="H48" i="1" l="1"/>
  <c r="D16" i="2" s="1"/>
  <c r="I48" i="1"/>
  <c r="E16" i="2" s="1"/>
  <c r="F16" i="2"/>
  <c r="H64" i="1"/>
  <c r="BD64" i="1" s="1"/>
  <c r="L35" i="1"/>
  <c r="J35" i="1"/>
  <c r="BJ35" i="1"/>
  <c r="BD35" i="1"/>
  <c r="AK35" i="1"/>
  <c r="AJ35" i="1"/>
  <c r="AH35" i="1"/>
  <c r="AG35" i="1"/>
  <c r="AF35" i="1"/>
  <c r="AE35" i="1"/>
  <c r="AD35" i="1"/>
  <c r="Z35" i="1"/>
  <c r="BF35" i="1"/>
  <c r="AL35" i="1"/>
  <c r="J39" i="1"/>
  <c r="J38" i="1" s="1"/>
  <c r="L39" i="1"/>
  <c r="L38" i="1" s="1"/>
  <c r="Y39" i="1"/>
  <c r="AC39" i="1"/>
  <c r="AD39" i="1"/>
  <c r="AE39" i="1"/>
  <c r="AF39" i="1"/>
  <c r="AG39" i="1"/>
  <c r="AI39" i="1"/>
  <c r="AJ39" i="1"/>
  <c r="AN39" i="1"/>
  <c r="AV39" i="1" s="1"/>
  <c r="AO39" i="1"/>
  <c r="I39" i="1" s="1"/>
  <c r="BC39" i="1"/>
  <c r="BI39" i="1"/>
  <c r="L49" i="1"/>
  <c r="AP49" i="1"/>
  <c r="AK49" i="1"/>
  <c r="AT48" i="1" s="1"/>
  <c r="AJ49" i="1"/>
  <c r="AS48" i="1" s="1"/>
  <c r="AH49" i="1"/>
  <c r="AG49" i="1"/>
  <c r="AF49" i="1"/>
  <c r="AE49" i="1"/>
  <c r="AD49" i="1"/>
  <c r="Z49" i="1"/>
  <c r="BF49" i="1"/>
  <c r="AL49" i="1"/>
  <c r="L64" i="1"/>
  <c r="J64" i="1"/>
  <c r="J62" i="1" s="1"/>
  <c r="AL64" i="1"/>
  <c r="AK64" i="1"/>
  <c r="AJ64" i="1"/>
  <c r="AG64" i="1"/>
  <c r="AF64" i="1"/>
  <c r="AE64" i="1"/>
  <c r="AD64" i="1"/>
  <c r="AC64" i="1"/>
  <c r="AB64" i="1"/>
  <c r="Z64" i="1"/>
  <c r="BF64" i="1"/>
  <c r="L48" i="1" l="1"/>
  <c r="G16" i="2" s="1"/>
  <c r="BE39" i="1"/>
  <c r="F18" i="2"/>
  <c r="L62" i="1"/>
  <c r="H62" i="1"/>
  <c r="D18" i="2" s="1"/>
  <c r="AO35" i="1"/>
  <c r="BH35" i="1" s="1"/>
  <c r="AB35" i="1" s="1"/>
  <c r="AP35" i="1"/>
  <c r="BI35" i="1" s="1"/>
  <c r="AC35" i="1" s="1"/>
  <c r="AP64" i="1"/>
  <c r="AX64" i="1" s="1"/>
  <c r="BJ64" i="1"/>
  <c r="AH64" i="1" s="1"/>
  <c r="BG39" i="1"/>
  <c r="AA39" i="1" s="1"/>
  <c r="H39" i="1"/>
  <c r="AK39" i="1"/>
  <c r="BH39" i="1"/>
  <c r="AB39" i="1" s="1"/>
  <c r="AW39" i="1"/>
  <c r="AU39" i="1" s="1"/>
  <c r="BD49" i="1"/>
  <c r="BJ49" i="1"/>
  <c r="AO64" i="1"/>
  <c r="BH64" i="1" s="1"/>
  <c r="AO49" i="1"/>
  <c r="BH49" i="1" s="1"/>
  <c r="AB49" i="1" s="1"/>
  <c r="AT62" i="1"/>
  <c r="AU62" i="1"/>
  <c r="AX49" i="1"/>
  <c r="AU48" i="1"/>
  <c r="BI49" i="1"/>
  <c r="AC49" i="1" s="1"/>
  <c r="AS62" i="1"/>
  <c r="G18" i="2" l="1"/>
  <c r="I75" i="1"/>
  <c r="H75" i="1"/>
  <c r="AX35" i="1"/>
  <c r="L75" i="1"/>
  <c r="J75" i="1"/>
  <c r="AW35" i="1"/>
  <c r="BI64" i="1"/>
  <c r="BB39" i="1"/>
  <c r="AW49" i="1"/>
  <c r="AV49" i="1" s="1"/>
  <c r="AW64" i="1"/>
  <c r="BC64" i="1" s="1"/>
  <c r="AV35" i="1" l="1"/>
  <c r="BC35" i="1"/>
  <c r="AV64" i="1"/>
  <c r="BC49" i="1"/>
  <c r="L59" i="1" l="1"/>
  <c r="L57" i="1" s="1"/>
  <c r="F69" i="1" s="1"/>
  <c r="J59" i="1"/>
  <c r="J57" i="1" s="1"/>
  <c r="AS38" i="1" l="1"/>
  <c r="AR38" i="1"/>
  <c r="L33" i="1"/>
  <c r="J33" i="1"/>
  <c r="I33" i="1" s="1"/>
  <c r="H33" i="1"/>
  <c r="AT38" i="1" l="1"/>
  <c r="I38" i="1"/>
  <c r="H38" i="1"/>
  <c r="E15" i="2"/>
  <c r="D15" i="2"/>
  <c r="F15" i="2" l="1"/>
  <c r="L31" i="1"/>
  <c r="L30" i="1" s="1"/>
  <c r="F72" i="1" l="1"/>
  <c r="F73" i="1" s="1"/>
  <c r="G15" i="2"/>
  <c r="C2" i="5"/>
  <c r="F2" i="5"/>
  <c r="C4" i="5"/>
  <c r="F4" i="5"/>
  <c r="C6" i="5"/>
  <c r="F6" i="5"/>
  <c r="C8" i="5"/>
  <c r="F8" i="5"/>
  <c r="C10" i="5"/>
  <c r="F10" i="5"/>
  <c r="I10" i="5"/>
  <c r="F22" i="5"/>
  <c r="I22" i="5"/>
  <c r="J13" i="1"/>
  <c r="L13" i="1"/>
  <c r="BE13" i="1" s="1"/>
  <c r="Y13" i="1"/>
  <c r="AC13" i="1"/>
  <c r="AD13" i="1"/>
  <c r="AE13" i="1"/>
  <c r="AF13" i="1"/>
  <c r="AG13" i="1"/>
  <c r="AI13" i="1"/>
  <c r="AJ13" i="1"/>
  <c r="AN13" i="1"/>
  <c r="AV13" i="1" s="1"/>
  <c r="AO13" i="1"/>
  <c r="I13" i="1" s="1"/>
  <c r="BC13" i="1"/>
  <c r="BI13" i="1"/>
  <c r="J15" i="1"/>
  <c r="AK15" i="1" s="1"/>
  <c r="L15" i="1"/>
  <c r="Y15" i="1"/>
  <c r="AC15" i="1"/>
  <c r="AD15" i="1"/>
  <c r="AE15" i="1"/>
  <c r="AF15" i="1"/>
  <c r="AG15" i="1"/>
  <c r="AI15" i="1"/>
  <c r="AJ15" i="1"/>
  <c r="AN15" i="1"/>
  <c r="H15" i="1" s="1"/>
  <c r="AO15" i="1"/>
  <c r="BH15" i="1" s="1"/>
  <c r="AB15" i="1" s="1"/>
  <c r="BC15" i="1"/>
  <c r="BI15" i="1"/>
  <c r="J17" i="1"/>
  <c r="AK17" i="1" s="1"/>
  <c r="L17" i="1"/>
  <c r="BE17" i="1" s="1"/>
  <c r="Y17" i="1"/>
  <c r="AC17" i="1"/>
  <c r="AD17" i="1"/>
  <c r="AE17" i="1"/>
  <c r="AF17" i="1"/>
  <c r="AG17" i="1"/>
  <c r="AI17" i="1"/>
  <c r="AJ17" i="1"/>
  <c r="AN17" i="1"/>
  <c r="H17" i="1" s="1"/>
  <c r="AO17" i="1"/>
  <c r="AW17" i="1" s="1"/>
  <c r="BC17" i="1"/>
  <c r="BI17" i="1"/>
  <c r="J19" i="1"/>
  <c r="L19" i="1"/>
  <c r="BE19" i="1" s="1"/>
  <c r="Y19" i="1"/>
  <c r="AC19" i="1"/>
  <c r="AD19" i="1"/>
  <c r="AE19" i="1"/>
  <c r="AF19" i="1"/>
  <c r="AG19" i="1"/>
  <c r="AI19" i="1"/>
  <c r="AJ19" i="1"/>
  <c r="AN19" i="1"/>
  <c r="BG19" i="1" s="1"/>
  <c r="AA19" i="1" s="1"/>
  <c r="AO19" i="1"/>
  <c r="I19" i="1" s="1"/>
  <c r="BC19" i="1"/>
  <c r="BI19" i="1"/>
  <c r="J21" i="1"/>
  <c r="L21" i="1"/>
  <c r="BE21" i="1" s="1"/>
  <c r="Y21" i="1"/>
  <c r="AC21" i="1"/>
  <c r="AD21" i="1"/>
  <c r="AE21" i="1"/>
  <c r="AF21" i="1"/>
  <c r="AG21" i="1"/>
  <c r="AI21" i="1"/>
  <c r="AJ21" i="1"/>
  <c r="AN21" i="1"/>
  <c r="H21" i="1" s="1"/>
  <c r="AO21" i="1"/>
  <c r="BH21" i="1" s="1"/>
  <c r="AB21" i="1" s="1"/>
  <c r="BC21" i="1"/>
  <c r="BI21" i="1"/>
  <c r="J23" i="1"/>
  <c r="L23" i="1"/>
  <c r="BE23" i="1" s="1"/>
  <c r="Y23" i="1"/>
  <c r="AC23" i="1"/>
  <c r="AD23" i="1"/>
  <c r="AE23" i="1"/>
  <c r="AF23" i="1"/>
  <c r="AG23" i="1"/>
  <c r="AI23" i="1"/>
  <c r="AJ23" i="1"/>
  <c r="AN23" i="1"/>
  <c r="BG23" i="1" s="1"/>
  <c r="AA23" i="1" s="1"/>
  <c r="AO23" i="1"/>
  <c r="BH23" i="1" s="1"/>
  <c r="AB23" i="1" s="1"/>
  <c r="BC23" i="1"/>
  <c r="BI23" i="1"/>
  <c r="J25" i="1"/>
  <c r="AK25" i="1" s="1"/>
  <c r="L25" i="1"/>
  <c r="BE25" i="1" s="1"/>
  <c r="Y25" i="1"/>
  <c r="AC25" i="1"/>
  <c r="AD25" i="1"/>
  <c r="AE25" i="1"/>
  <c r="AF25" i="1"/>
  <c r="AG25" i="1"/>
  <c r="AI25" i="1"/>
  <c r="AJ25" i="1"/>
  <c r="AN25" i="1"/>
  <c r="AV25" i="1" s="1"/>
  <c r="AO25" i="1"/>
  <c r="I25" i="1" s="1"/>
  <c r="BC25" i="1"/>
  <c r="BI25" i="1"/>
  <c r="J28" i="1"/>
  <c r="J27" i="1" s="1"/>
  <c r="F12" i="2" s="1"/>
  <c r="L28" i="1"/>
  <c r="L27" i="1" s="1"/>
  <c r="G12" i="2" s="1"/>
  <c r="Y28" i="1"/>
  <c r="AC28" i="1"/>
  <c r="AD28" i="1"/>
  <c r="AE28" i="1"/>
  <c r="AF28" i="1"/>
  <c r="AG28" i="1"/>
  <c r="AI28" i="1"/>
  <c r="AR27" i="1" s="1"/>
  <c r="AJ28" i="1"/>
  <c r="AS27" i="1" s="1"/>
  <c r="AN28" i="1"/>
  <c r="H28" i="1" s="1"/>
  <c r="H27" i="1" s="1"/>
  <c r="D12" i="2" s="1"/>
  <c r="AO28" i="1"/>
  <c r="I28" i="1" s="1"/>
  <c r="I27" i="1" s="1"/>
  <c r="E12" i="2" s="1"/>
  <c r="BC28" i="1"/>
  <c r="BI28" i="1"/>
  <c r="J31" i="1"/>
  <c r="J30" i="1" s="1"/>
  <c r="BE31" i="1"/>
  <c r="Y31" i="1"/>
  <c r="AC31" i="1"/>
  <c r="AD31" i="1"/>
  <c r="AE31" i="1"/>
  <c r="AF31" i="1"/>
  <c r="AG31" i="1"/>
  <c r="AI31" i="1"/>
  <c r="AJ31" i="1"/>
  <c r="AN31" i="1"/>
  <c r="H31" i="1" s="1"/>
  <c r="H30" i="1" s="1"/>
  <c r="AO31" i="1"/>
  <c r="BH31" i="1" s="1"/>
  <c r="AB31" i="1" s="1"/>
  <c r="BC31" i="1"/>
  <c r="BI31" i="1"/>
  <c r="AA69" i="1"/>
  <c r="AB69" i="1"/>
  <c r="AC69" i="1"/>
  <c r="AD69" i="1"/>
  <c r="AE69" i="1"/>
  <c r="AF69" i="1"/>
  <c r="AG69" i="1"/>
  <c r="AI69" i="1"/>
  <c r="AR68" i="1" s="1"/>
  <c r="AJ69" i="1"/>
  <c r="AS68" i="1" s="1"/>
  <c r="AN69" i="1"/>
  <c r="AO69" i="1"/>
  <c r="BC69" i="1"/>
  <c r="L72" i="1"/>
  <c r="BE72" i="1" s="1"/>
  <c r="AA72" i="1"/>
  <c r="AB72" i="1"/>
  <c r="AC72" i="1"/>
  <c r="AD72" i="1"/>
  <c r="AE72" i="1"/>
  <c r="AF72" i="1"/>
  <c r="AG72" i="1"/>
  <c r="AI72" i="1"/>
  <c r="AJ72" i="1"/>
  <c r="AN72" i="1"/>
  <c r="BG72" i="1" s="1"/>
  <c r="AO72" i="1"/>
  <c r="I72" i="1" s="1"/>
  <c r="BC72" i="1"/>
  <c r="BI72" i="1"/>
  <c r="Y72" i="1" s="1"/>
  <c r="AA73" i="1"/>
  <c r="AB73" i="1"/>
  <c r="AC73" i="1"/>
  <c r="AD73" i="1"/>
  <c r="AE73" i="1"/>
  <c r="AF73" i="1"/>
  <c r="AG73" i="1"/>
  <c r="AI73" i="1"/>
  <c r="AJ73" i="1"/>
  <c r="AN73" i="1"/>
  <c r="AO73" i="1"/>
  <c r="BC73" i="1"/>
  <c r="B2" i="2"/>
  <c r="E2" i="2"/>
  <c r="B4" i="2"/>
  <c r="E4" i="2"/>
  <c r="B6" i="2"/>
  <c r="E6" i="2"/>
  <c r="B8" i="2"/>
  <c r="E8" i="2"/>
  <c r="J72" i="1" l="1"/>
  <c r="BI73" i="1"/>
  <c r="Y73" i="1" s="1"/>
  <c r="J73" i="1"/>
  <c r="AK73" i="1" s="1"/>
  <c r="L73" i="1"/>
  <c r="BE73" i="1" s="1"/>
  <c r="BH73" i="1"/>
  <c r="BG73" i="1"/>
  <c r="J12" i="2"/>
  <c r="C16" i="5"/>
  <c r="J12" i="1"/>
  <c r="F11" i="2" s="1"/>
  <c r="BH69" i="1"/>
  <c r="I12" i="2"/>
  <c r="G14" i="2"/>
  <c r="F14" i="2"/>
  <c r="AK19" i="1"/>
  <c r="BH13" i="1"/>
  <c r="AB13" i="1" s="1"/>
  <c r="H72" i="1"/>
  <c r="AS71" i="1"/>
  <c r="AV72" i="1"/>
  <c r="AK13" i="1"/>
  <c r="H25" i="1"/>
  <c r="BH19" i="1"/>
  <c r="AB19" i="1" s="1"/>
  <c r="AS30" i="1"/>
  <c r="BG17" i="1"/>
  <c r="AA17" i="1" s="1"/>
  <c r="BG15" i="1"/>
  <c r="AA15" i="1" s="1"/>
  <c r="I15" i="1"/>
  <c r="AR30" i="1"/>
  <c r="BG25" i="1"/>
  <c r="AA25" i="1" s="1"/>
  <c r="AW19" i="1"/>
  <c r="AK21" i="1"/>
  <c r="AV17" i="1"/>
  <c r="AU17" i="1" s="1"/>
  <c r="AW15" i="1"/>
  <c r="AW72" i="1"/>
  <c r="AV15" i="1"/>
  <c r="C28" i="5"/>
  <c r="F28" i="5" s="1"/>
  <c r="AW31" i="1"/>
  <c r="AK28" i="1"/>
  <c r="AT27" i="1" s="1"/>
  <c r="AW23" i="1"/>
  <c r="AW21" i="1"/>
  <c r="BG13" i="1"/>
  <c r="AA13" i="1" s="1"/>
  <c r="C27" i="5"/>
  <c r="BH17" i="1"/>
  <c r="AB17" i="1" s="1"/>
  <c r="AR12" i="1"/>
  <c r="I17" i="1"/>
  <c r="L12" i="1"/>
  <c r="G11" i="2" s="1"/>
  <c r="AW13" i="1"/>
  <c r="BB13" i="1" s="1"/>
  <c r="C18" i="5"/>
  <c r="H73" i="1"/>
  <c r="F13" i="2"/>
  <c r="BE28" i="1"/>
  <c r="C19" i="5"/>
  <c r="C17" i="5"/>
  <c r="I23" i="1"/>
  <c r="I31" i="1"/>
  <c r="I30" i="1" s="1"/>
  <c r="BH72" i="1"/>
  <c r="AR71" i="1"/>
  <c r="G13" i="2"/>
  <c r="C20" i="5"/>
  <c r="I21" i="1"/>
  <c r="D13" i="2"/>
  <c r="AW73" i="1"/>
  <c r="AK31" i="1"/>
  <c r="AV19" i="1"/>
  <c r="BE15" i="1"/>
  <c r="H13" i="1"/>
  <c r="AV73" i="1"/>
  <c r="L71" i="1"/>
  <c r="G19" i="2" s="1"/>
  <c r="BH28" i="1"/>
  <c r="AB28" i="1" s="1"/>
  <c r="I73" i="1"/>
  <c r="I71" i="1" s="1"/>
  <c r="E19" i="2" s="1"/>
  <c r="C21" i="5" s="1"/>
  <c r="BG28" i="1"/>
  <c r="AA28" i="1" s="1"/>
  <c r="BH25" i="1"/>
  <c r="AB25" i="1" s="1"/>
  <c r="AV23" i="1"/>
  <c r="H19" i="1"/>
  <c r="AS12" i="1"/>
  <c r="H23" i="1"/>
  <c r="AW28" i="1"/>
  <c r="AK23" i="1"/>
  <c r="BG31" i="1"/>
  <c r="AA31" i="1" s="1"/>
  <c r="AV28" i="1"/>
  <c r="AW25" i="1"/>
  <c r="AU25" i="1" s="1"/>
  <c r="BG21" i="1"/>
  <c r="AA21" i="1" s="1"/>
  <c r="AV31" i="1"/>
  <c r="AV21" i="1"/>
  <c r="J71" i="1" l="1"/>
  <c r="F19" i="2" s="1"/>
  <c r="I19" i="2" s="1"/>
  <c r="AK72" i="1"/>
  <c r="AT71" i="1" s="1"/>
  <c r="H71" i="1"/>
  <c r="D19" i="2" s="1"/>
  <c r="AW69" i="1"/>
  <c r="BG69" i="1"/>
  <c r="AV69" i="1"/>
  <c r="I69" i="1"/>
  <c r="I68" i="1" s="1"/>
  <c r="E17" i="2" s="1"/>
  <c r="J69" i="1"/>
  <c r="L69" i="1"/>
  <c r="BI69" i="1"/>
  <c r="Y69" i="1" s="1"/>
  <c r="H69" i="1"/>
  <c r="H68" i="1" s="1"/>
  <c r="D17" i="2" s="1"/>
  <c r="I16" i="2"/>
  <c r="E13" i="2"/>
  <c r="I13" i="2"/>
  <c r="D14" i="2"/>
  <c r="BB72" i="1"/>
  <c r="BB17" i="1"/>
  <c r="BB15" i="1"/>
  <c r="I12" i="1"/>
  <c r="E11" i="2" s="1"/>
  <c r="AU13" i="1"/>
  <c r="AT12" i="1"/>
  <c r="AU72" i="1"/>
  <c r="AT30" i="1"/>
  <c r="AU15" i="1"/>
  <c r="BB25" i="1"/>
  <c r="E14" i="2"/>
  <c r="AU23" i="1"/>
  <c r="BB23" i="1"/>
  <c r="BB19" i="1"/>
  <c r="AU19" i="1"/>
  <c r="AU21" i="1"/>
  <c r="BB21" i="1"/>
  <c r="AU31" i="1"/>
  <c r="BB31" i="1"/>
  <c r="I11" i="2"/>
  <c r="AU73" i="1"/>
  <c r="BB73" i="1"/>
  <c r="H12" i="1"/>
  <c r="D11" i="2" s="1"/>
  <c r="AU28" i="1"/>
  <c r="BB28" i="1"/>
  <c r="J13" i="2" l="1"/>
  <c r="E20" i="2"/>
  <c r="C15" i="5" s="1"/>
  <c r="AU69" i="1"/>
  <c r="BB69" i="1"/>
  <c r="J11" i="2"/>
  <c r="BE69" i="1"/>
  <c r="L68" i="1"/>
  <c r="G17" i="2" s="1"/>
  <c r="AK69" i="1"/>
  <c r="AT68" i="1" s="1"/>
  <c r="J68" i="1"/>
  <c r="J80" i="1" s="1"/>
  <c r="D20" i="2"/>
  <c r="C14" i="5" s="1"/>
  <c r="I14" i="2"/>
  <c r="C22" i="5" l="1"/>
  <c r="C29" i="5" s="1"/>
  <c r="I28" i="5" s="1"/>
  <c r="F17" i="2"/>
  <c r="F20" i="2" s="1"/>
  <c r="I17" i="2" l="1"/>
  <c r="F29" i="5"/>
  <c r="I29" i="5" s="1"/>
</calcChain>
</file>

<file path=xl/sharedStrings.xml><?xml version="1.0" encoding="utf-8"?>
<sst xmlns="http://schemas.openxmlformats.org/spreadsheetml/2006/main" count="484" uniqueCount="239">
  <si>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</si>
  <si>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</si>
  <si>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</si>
  <si>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</si>
  <si>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</si>
  <si>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</si>
  <si>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</si>
  <si>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</si>
  <si>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</si>
  <si>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</si>
  <si>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</si>
  <si>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</si>
  <si>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</si>
  <si>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</si>
  <si>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</si>
  <si>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</si>
  <si>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</si>
  <si>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</si>
  <si>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Poznámka:</t>
  </si>
  <si>
    <t>Náklady na veškeré výkony a materiály jsou obsaženy v příslušných položkách</t>
  </si>
  <si>
    <t>Objekt</t>
  </si>
  <si>
    <t>Kód</t>
  </si>
  <si>
    <t>010VD</t>
  </si>
  <si>
    <t>100 00-01</t>
  </si>
  <si>
    <t>020VD</t>
  </si>
  <si>
    <t>200 00-01</t>
  </si>
  <si>
    <t>Varianta:</t>
  </si>
  <si>
    <t>57</t>
  </si>
  <si>
    <t>573211112R00</t>
  </si>
  <si>
    <t>91</t>
  </si>
  <si>
    <t>919726212R00</t>
  </si>
  <si>
    <t>H22</t>
  </si>
  <si>
    <t>998225111R00</t>
  </si>
  <si>
    <t>S</t>
  </si>
  <si>
    <t>979082213R00</t>
  </si>
  <si>
    <t>979082219R00</t>
  </si>
  <si>
    <t>Jihlava</t>
  </si>
  <si>
    <t>Zkrácený popis / Varianta</t>
  </si>
  <si>
    <t>Rozměry</t>
  </si>
  <si>
    <t>Vedlejší náklady</t>
  </si>
  <si>
    <t>Dopravně inženýrská opatření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</si>
  <si>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</si>
  <si>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</si>
  <si>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</si>
  <si>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_x000D_
náklady na osazení, přemístění a zrušení cedulí_x000D_
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</si>
  <si>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</si>
  <si>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</si>
  <si>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Náklady na zařízení staveniště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</si>
  <si>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stavbu._x000D_
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</si>
  <si>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</si>
  <si>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</si>
  <si>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</si>
  <si>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</si>
  <si>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Ostatní náklady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</si>
  <si>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</si>
  <si>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</si>
  <si>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Přípravné a přidružené práce</t>
  </si>
  <si>
    <t>Kryty pozemních komunikací, letišť a ploch z kameniva nebo živičné</t>
  </si>
  <si>
    <t>Postřik živičný spojovací z asfaltu 0,25 kg/m2</t>
  </si>
  <si>
    <t>modifikovaný</t>
  </si>
  <si>
    <t>Doplňující konstrukce a práce na pozemních komunikacích a zpevněných plochách</t>
  </si>
  <si>
    <t>Těsnění spár krytu vozovky zálivkou za studena</t>
  </si>
  <si>
    <t>Komunikace pozemní a letiště</t>
  </si>
  <si>
    <t>Přesun hmot, pozemní komunikace, kryt živičný</t>
  </si>
  <si>
    <t>Přesuny sutí</t>
  </si>
  <si>
    <t>Vodorovná doprava suti po suchu do 1 km</t>
  </si>
  <si>
    <t>Příplatek za dopravu suti po suchu za další 1 km</t>
  </si>
  <si>
    <t>Doba výstavby:</t>
  </si>
  <si>
    <t>Začátek výstavby:</t>
  </si>
  <si>
    <t>Konec výstavby:</t>
  </si>
  <si>
    <t>Zpracováno dne:</t>
  </si>
  <si>
    <t>MJ</t>
  </si>
  <si>
    <t>soubor</t>
  </si>
  <si>
    <t>m2</t>
  </si>
  <si>
    <t>m</t>
  </si>
  <si>
    <t>t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</si>
  <si>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</si>
  <si>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</si>
  <si>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</si>
  <si>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</si>
  <si>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</si>
  <si>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</si>
  <si>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</si>
  <si>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</si>
  <si>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</si>
  <si>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</si>
  <si>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Statutární město Jihlava</t>
  </si>
  <si>
    <t> </t>
  </si>
  <si>
    <t>dle výběrového řízení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</si>
  <si>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</si>
  <si>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</si>
  <si>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</si>
  <si>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</si>
  <si>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</si>
  <si>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</si>
  <si>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</si>
  <si>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</si>
  <si>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</si>
  <si>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</si>
  <si>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</si>
  <si>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</si>
  <si>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</si>
  <si>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010VD_</t>
  </si>
  <si>
    <t>020VD_</t>
  </si>
  <si>
    <t>11_</t>
  </si>
  <si>
    <t>57_</t>
  </si>
  <si>
    <t>91_</t>
  </si>
  <si>
    <t>H22_</t>
  </si>
  <si>
    <t>S_</t>
  </si>
  <si>
    <t>0_</t>
  </si>
  <si>
    <t>1_</t>
  </si>
  <si>
    <t>5_</t>
  </si>
  <si>
    <t>9_</t>
  </si>
  <si>
    <t>_</t>
  </si>
  <si>
    <t>MAT</t>
  </si>
  <si>
    <t>WORK</t>
  </si>
  <si>
    <t>CELK</t>
  </si>
  <si>
    <t>ISWORK</t>
  </si>
  <si>
    <t>P</t>
  </si>
  <si>
    <t>GROUPCODE</t>
  </si>
  <si>
    <t>Stavební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</si>
  <si>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</si>
  <si>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</si>
  <si>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</si>
  <si>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</si>
  <si>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</si>
  <si>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</si>
  <si>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</si>
  <si>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</si>
  <si>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</si>
  <si>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</si>
  <si>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</si>
  <si>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</si>
  <si>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</si>
  <si>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</si>
  <si>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</si>
  <si>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</si>
  <si>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</si>
  <si>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</si>
  <si>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</si>
  <si>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</si>
  <si>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</si>
  <si>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</si>
  <si>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</si>
  <si>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</si>
  <si>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</si>
  <si>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</si>
  <si>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</si>
  <si>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</si>
  <si>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</si>
  <si>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</si>
  <si>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</si>
  <si>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</si>
  <si>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</si>
  <si>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</si>
  <si>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</si>
  <si>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</si>
  <si>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</si>
  <si>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</si>
  <si>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</si>
  <si>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</si>
  <si>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</si>
  <si>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</si>
  <si>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</si>
  <si>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</si>
  <si>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</si>
  <si>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</si>
  <si>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</si>
  <si>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</si>
  <si>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</si>
  <si>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</si>
  <si>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00286010/</t>
  </si>
  <si>
    <t>Ing. Bc. Karel Trojan</t>
  </si>
  <si>
    <t>trvale pružný asfaltový tmel</t>
  </si>
  <si>
    <t>Položka obsahuje nakládku R-materiálu a zametení (dočištění) frézovaných míst</t>
  </si>
  <si>
    <t>113151314R00</t>
  </si>
  <si>
    <t>Dopravně inženýrská opatření po dobu stavby vč. vypracování projektu DIO, prováděná v souladu s pokyny Policie ČR - dopravního inspektorátu, dle pokynů příslušného odboru dopravy a správce komunikace - Služby města Jihlavy a dle pokynů dalších příslušných orgánů._x000D_
Včetně veškerého přechodného dopravního značení, vč. instalace a zajištění servisu značení po celou dobu trvání stavby._x000D_
Zajištění prací pro "Stanovení přechodné úpravy silničního provozu na komunikacích dle §77 zákona č. 361/2000 Sb., O provozu na pozemních komunikacích."</t>
  </si>
  <si>
    <t>13</t>
  </si>
  <si>
    <t>89</t>
  </si>
  <si>
    <t>Ostatní konstrukce a práce na trubním vedení</t>
  </si>
  <si>
    <t>899331111R00</t>
  </si>
  <si>
    <t>kus</t>
  </si>
  <si>
    <t>89_</t>
  </si>
  <si>
    <t>8_</t>
  </si>
  <si>
    <t>19</t>
  </si>
  <si>
    <t>podél frézovaných spár v asfaltu, ošetření trhlin v ložné vrstvě po odfrézování</t>
  </si>
  <si>
    <t>577142122R00</t>
  </si>
  <si>
    <t>16</t>
  </si>
  <si>
    <t>17</t>
  </si>
  <si>
    <t>18</t>
  </si>
  <si>
    <t>Frézování živič.krytu do 500 m2, s překážkami, tl.6 cm</t>
  </si>
  <si>
    <t>Položka obsahuje nakládku R-materiálu a zametení (dočištění) frézovaných míst - frézování lokálních poruch v ložné vrstvě</t>
  </si>
  <si>
    <t>14</t>
  </si>
  <si>
    <t>Výšková úprava vstupu do 20 cm, zvýšení poklopu uliční vpusti/revizní šachty kanalizace</t>
  </si>
  <si>
    <t>Výšková úprava vstupu do 20 cm, zvýšení poklopu vodovdního uzávěru</t>
  </si>
  <si>
    <t>SO 101</t>
  </si>
  <si>
    <t>0</t>
  </si>
  <si>
    <t>Z99999_</t>
  </si>
  <si>
    <t>SO 101_Z_</t>
  </si>
  <si>
    <t>SO 101_</t>
  </si>
  <si>
    <t>M</t>
  </si>
  <si>
    <t>59217010</t>
  </si>
  <si>
    <t>Obrubník silniční betonový 150x250x1000 mm</t>
  </si>
  <si>
    <t>979999997R00</t>
  </si>
  <si>
    <t>Poplatek za recyklaci směsi suti betonu, štěrku, živice</t>
  </si>
  <si>
    <t>SO 101_9_</t>
  </si>
  <si>
    <t>917862111R00</t>
  </si>
  <si>
    <t>Osazení stojat. obrub.bet. s opěrou,lože z C 16/20</t>
  </si>
  <si>
    <t>12</t>
  </si>
  <si>
    <t>113106231R00</t>
  </si>
  <si>
    <t>SO 102</t>
  </si>
  <si>
    <t>SO 102_1_</t>
  </si>
  <si>
    <t>SO 102_</t>
  </si>
  <si>
    <t>113202111R00</t>
  </si>
  <si>
    <t>Vytrhání obrub obrubníků silničních</t>
  </si>
  <si>
    <t xml:space="preserve">Pozn. doprava recyklátu na skládku objednatele do 10 km od místa provádění stavby </t>
  </si>
  <si>
    <t>20</t>
  </si>
  <si>
    <t>21</t>
  </si>
  <si>
    <t>23</t>
  </si>
  <si>
    <t>24</t>
  </si>
  <si>
    <t>Rozebrání dlažeb z kamenné dlažby</t>
  </si>
  <si>
    <t>577132111R00</t>
  </si>
  <si>
    <t>Beton asfalt. ACL 16+ ložný, š.nad 3 m, tl. 6 cm</t>
  </si>
  <si>
    <t>Uložení vybouraných betonových obrub, betonu a podkladu z místa zastávkového pruhu</t>
  </si>
  <si>
    <t>15</t>
  </si>
  <si>
    <t>22</t>
  </si>
  <si>
    <t>09.09.2024</t>
  </si>
  <si>
    <t>Beton asfalt. ACL 16+ ložný, š.do 3 m, tl. 6 cm</t>
  </si>
  <si>
    <t>577142122RT2</t>
  </si>
  <si>
    <t>Frézování živič.krytu nad 500 m2, s překážkami, tl.4 cm</t>
  </si>
  <si>
    <t>Asfaltový koberec mastixový SMA 11 (AKMS) "SMA 11 s PMB 45/80-65" s rozprostředním a se zhutněním v pruhu šířky přes 3 m, po zhutněnní tl. 40 mm</t>
  </si>
  <si>
    <t>577132111RT2</t>
  </si>
  <si>
    <t>Asfaltový koberec mastixový SMA 11 (AKMS) "SMA 11 s PMB 45/80-65" s rozprostředním a se zhutněním v pruhu šířky do 3 m, po zhutněnní tl. 40 mm</t>
  </si>
  <si>
    <t>919726212RT2</t>
  </si>
  <si>
    <t>Těsnění mostních závěrů zálivkou za studena</t>
  </si>
  <si>
    <t>Oprava povrchu komunikace v Havlíčkova</t>
  </si>
  <si>
    <t>kamenný dvojřádek</t>
  </si>
  <si>
    <t>Nové elastomerové mostní závěry</t>
  </si>
  <si>
    <t>vč. zpětné realizace kamenného dvojřádku a opravy dotčené části chodníku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</si>
</sst>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indexed="61"/>
      <name val="Arial"/>
      <family val="2"/>
      <charset val="238"/>
    </font>
    <font>
      <b/>
      <sz val="7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9" fontId="31" fillId="0" borderId="22" xfId="0" applyNumberFormat="1" applyFont="1" applyFill="1" applyBorder="1" applyAlignment="1" applyProtection="1">
      <alignment horizontal="left" vertical="center"/>
    </xf>
    <xf numFmtId="0" fontId="22" fillId="6" borderId="0" applyNumberFormat="0" applyBorder="0" applyAlignment="0" applyProtection="0"/>
    <xf numFmtId="0" fontId="1" fillId="0" borderId="0"/>
  </cellStyleXfs>
  <cellXfs count="230">
    <xf numFmtId="0" fontId="2" fillId="0" borderId="0" xfId="0" applyFont="1" applyAlignment="1">
      <alignment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4" fillId="0" borderId="28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49" fontId="14" fillId="3" borderId="35" xfId="0" applyNumberFormat="1" applyFont="1" applyFill="1" applyBorder="1" applyAlignment="1" applyProtection="1">
      <alignment horizontal="center" vertical="center"/>
    </xf>
    <xf numFmtId="49" fontId="15" fillId="0" borderId="36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6" fillId="0" borderId="35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4" fontId="16" fillId="0" borderId="35" xfId="0" applyNumberFormat="1" applyFont="1" applyFill="1" applyBorder="1" applyAlignment="1" applyProtection="1">
      <alignment horizontal="right" vertical="center"/>
    </xf>
    <xf numFmtId="49" fontId="16" fillId="0" borderId="35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0" fontId="2" fillId="0" borderId="24" xfId="0" applyNumberFormat="1" applyFont="1" applyFill="1" applyBorder="1" applyAlignment="1" applyProtection="1">
      <alignment vertical="center"/>
    </xf>
    <xf numFmtId="4" fontId="15" fillId="3" borderId="4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49" fontId="2" fillId="4" borderId="43" xfId="0" applyNumberFormat="1" applyFont="1" applyFill="1" applyBorder="1" applyAlignment="1" applyProtection="1">
      <alignment horizontal="left" vertical="center"/>
    </xf>
    <xf numFmtId="4" fontId="2" fillId="4" borderId="4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6" fillId="5" borderId="44" xfId="0" applyNumberFormat="1" applyFont="1" applyFill="1" applyBorder="1" applyAlignment="1" applyProtection="1">
      <alignment horizontal="left" vertical="center"/>
    </xf>
    <xf numFmtId="0" fontId="2" fillId="5" borderId="43" xfId="0" applyNumberFormat="1" applyFont="1" applyFill="1" applyBorder="1" applyAlignment="1" applyProtection="1">
      <alignment vertical="center"/>
    </xf>
    <xf numFmtId="0" fontId="1" fillId="5" borderId="43" xfId="1" applyNumberFormat="1" applyFont="1" applyFill="1" applyBorder="1" applyAlignment="1" applyProtection="1"/>
    <xf numFmtId="49" fontId="12" fillId="5" borderId="43" xfId="0" applyNumberFormat="1" applyFont="1" applyFill="1" applyBorder="1" applyAlignment="1" applyProtection="1">
      <alignment horizontal="left" vertical="center"/>
    </xf>
    <xf numFmtId="4" fontId="6" fillId="5" borderId="44" xfId="0" applyNumberFormat="1" applyFont="1" applyFill="1" applyBorder="1" applyAlignment="1" applyProtection="1">
      <alignment horizontal="right" vertical="center"/>
    </xf>
    <xf numFmtId="4" fontId="12" fillId="5" borderId="43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Alignment="1">
      <alignment vertical="center"/>
    </xf>
    <xf numFmtId="49" fontId="20" fillId="4" borderId="43" xfId="0" applyNumberFormat="1" applyFont="1" applyFill="1" applyBorder="1" applyAlignment="1" applyProtection="1">
      <alignment horizontal="left" vertical="center"/>
    </xf>
    <xf numFmtId="49" fontId="21" fillId="0" borderId="3" xfId="0" applyNumberFormat="1" applyFont="1" applyFill="1" applyBorder="1" applyAlignment="1" applyProtection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/>
    </xf>
    <xf numFmtId="4" fontId="6" fillId="0" borderId="22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8" fillId="2" borderId="22" xfId="0" applyNumberFormat="1" applyFont="1" applyFill="1" applyBorder="1" applyAlignment="1" applyProtection="1">
      <alignment horizontal="righ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49" fontId="4" fillId="0" borderId="4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22" xfId="0" applyNumberFormat="1" applyFont="1" applyFill="1" applyBorder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3" fillId="2" borderId="3" xfId="0" applyNumberFormat="1" applyFont="1" applyFill="1" applyBorder="1" applyAlignment="1" applyProtection="1">
      <alignment horizontal="left" vertical="center"/>
    </xf>
    <xf numFmtId="49" fontId="24" fillId="2" borderId="0" xfId="0" applyNumberFormat="1" applyFont="1" applyFill="1" applyBorder="1" applyAlignment="1" applyProtection="1">
      <alignment horizontal="left" vertical="center"/>
    </xf>
    <xf numFmtId="49" fontId="23" fillId="2" borderId="0" xfId="0" applyNumberFormat="1" applyFont="1" applyFill="1" applyBorder="1" applyAlignment="1" applyProtection="1">
      <alignment horizontal="left" vertical="center"/>
    </xf>
    <xf numFmtId="4" fontId="24" fillId="2" borderId="0" xfId="0" applyNumberFormat="1" applyFont="1" applyFill="1" applyBorder="1" applyAlignment="1" applyProtection="1">
      <alignment horizontal="right" vertical="center"/>
    </xf>
    <xf numFmtId="49" fontId="24" fillId="2" borderId="0" xfId="0" applyNumberFormat="1" applyFont="1" applyFill="1" applyBorder="1" applyAlignment="1" applyProtection="1">
      <alignment horizontal="right" vertical="center"/>
    </xf>
    <xf numFmtId="0" fontId="25" fillId="0" borderId="3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49" fontId="26" fillId="0" borderId="3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" fontId="28" fillId="0" borderId="0" xfId="0" applyNumberFormat="1" applyFont="1" applyFill="1" applyBorder="1" applyAlignment="1" applyProtection="1">
      <alignment horizontal="right" vertical="center"/>
    </xf>
    <xf numFmtId="4" fontId="25" fillId="0" borderId="0" xfId="0" applyNumberFormat="1" applyFont="1" applyFill="1" applyBorder="1" applyAlignment="1" applyProtection="1">
      <alignment horizontal="right" vertical="center"/>
    </xf>
    <xf numFmtId="49" fontId="28" fillId="0" borderId="0" xfId="0" applyNumberFormat="1" applyFont="1" applyFill="1" applyBorder="1" applyAlignment="1" applyProtection="1">
      <alignment horizontal="right" vertical="center"/>
    </xf>
    <xf numFmtId="49" fontId="25" fillId="0" borderId="0" xfId="0" applyNumberFormat="1" applyFont="1" applyFill="1" applyBorder="1" applyAlignment="1" applyProtection="1">
      <alignment horizontal="right" vertical="center"/>
    </xf>
    <xf numFmtId="49" fontId="29" fillId="0" borderId="0" xfId="0" applyNumberFormat="1" applyFont="1" applyFill="1" applyBorder="1" applyAlignment="1" applyProtection="1">
      <alignment horizontal="left" vertical="center"/>
    </xf>
    <xf numFmtId="4" fontId="29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left" vertical="center"/>
    </xf>
    <xf numFmtId="4" fontId="26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right" vertical="center"/>
    </xf>
    <xf numFmtId="49" fontId="28" fillId="0" borderId="0" xfId="0" applyNumberFormat="1" applyFont="1" applyFill="1" applyBorder="1" applyAlignment="1" applyProtection="1">
      <alignment vertical="center"/>
    </xf>
    <xf numFmtId="49" fontId="26" fillId="0" borderId="0" xfId="0" applyNumberFormat="1" applyFont="1" applyFill="1" applyBorder="1" applyAlignment="1" applyProtection="1">
      <alignment vertical="center"/>
    </xf>
    <xf numFmtId="4" fontId="24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4" fontId="27" fillId="0" borderId="0" xfId="0" applyNumberFormat="1" applyFont="1" applyFill="1" applyBorder="1" applyAlignment="1" applyProtection="1">
      <alignment horizontal="right" vertical="center"/>
    </xf>
    <xf numFmtId="49" fontId="27" fillId="0" borderId="0" xfId="0" applyNumberFormat="1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right" vertical="center"/>
    </xf>
    <xf numFmtId="4" fontId="8" fillId="2" borderId="24" xfId="0" applyNumberFormat="1" applyFont="1" applyFill="1" applyBorder="1" applyAlignment="1" applyProtection="1">
      <alignment horizontal="right" vertical="center"/>
    </xf>
    <xf numFmtId="4" fontId="27" fillId="0" borderId="22" xfId="0" applyNumberFormat="1" applyFont="1" applyFill="1" applyBorder="1" applyAlignment="1" applyProtection="1">
      <alignment horizontal="right" vertical="center"/>
    </xf>
    <xf numFmtId="4" fontId="6" fillId="5" borderId="48" xfId="0" applyNumberFormat="1" applyFont="1" applyFill="1" applyBorder="1" applyAlignment="1" applyProtection="1">
      <alignment horizontal="right" vertical="center"/>
    </xf>
    <xf numFmtId="0" fontId="1" fillId="5" borderId="49" xfId="1" applyNumberFormat="1" applyFont="1" applyFill="1" applyBorder="1" applyAlignment="1" applyProtection="1"/>
    <xf numFmtId="4" fontId="24" fillId="2" borderId="22" xfId="0" applyNumberFormat="1" applyFont="1" applyFill="1" applyBorder="1" applyAlignment="1" applyProtection="1">
      <alignment horizontal="right" vertical="center"/>
    </xf>
    <xf numFmtId="4" fontId="28" fillId="0" borderId="22" xfId="0" applyNumberFormat="1" applyFont="1" applyFill="1" applyBorder="1" applyAlignment="1" applyProtection="1">
      <alignment horizontal="right" vertical="center"/>
    </xf>
    <xf numFmtId="0" fontId="25" fillId="0" borderId="22" xfId="0" applyFont="1" applyBorder="1" applyAlignment="1">
      <alignment vertical="center"/>
    </xf>
    <xf numFmtId="4" fontId="26" fillId="0" borderId="22" xfId="0" applyNumberFormat="1" applyFont="1" applyFill="1" applyBorder="1" applyAlignment="1" applyProtection="1">
      <alignment horizontal="right" vertical="center"/>
    </xf>
    <xf numFmtId="4" fontId="2" fillId="4" borderId="4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top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22" xfId="0" applyNumberFormat="1" applyFont="1" applyFill="1" applyBorder="1" applyAlignment="1" applyProtection="1">
      <alignment vertical="top"/>
    </xf>
    <xf numFmtId="49" fontId="5" fillId="0" borderId="0" xfId="3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" fillId="4" borderId="43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" fontId="27" fillId="0" borderId="0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" fontId="28" fillId="0" borderId="0" xfId="0" applyNumberFormat="1" applyFont="1" applyFill="1" applyBorder="1" applyAlignment="1" applyProtection="1">
      <alignment horizontal="right" vertical="center"/>
      <protection locked="0"/>
    </xf>
    <xf numFmtId="4" fontId="6" fillId="5" borderId="44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0" fillId="0" borderId="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22" xfId="0" applyNumberFormat="1" applyFont="1" applyFill="1" applyBorder="1" applyAlignment="1" applyProtection="1">
      <alignment horizontal="left" vertical="top"/>
    </xf>
    <xf numFmtId="0" fontId="2" fillId="0" borderId="10" xfId="0" applyNumberFormat="1" applyFont="1" applyFill="1" applyBorder="1" applyAlignment="1" applyProtection="1">
      <alignment horizontal="left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49" fontId="24" fillId="2" borderId="0" xfId="0" applyNumberFormat="1" applyFont="1" applyFill="1" applyBorder="1" applyAlignment="1" applyProtection="1">
      <alignment horizontal="left" vertical="center"/>
    </xf>
    <xf numFmtId="0" fontId="24" fillId="2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3" fillId="0" borderId="9" xfId="0" applyNumberFormat="1" applyFont="1" applyFill="1" applyBorder="1" applyAlignment="1" applyProtection="1">
      <alignment horizontal="left" vertical="center" wrapText="1"/>
    </xf>
    <xf numFmtId="0" fontId="33" fillId="0" borderId="9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1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1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1" xfId="0" applyNumberFormat="1" applyFont="1" applyFill="1" applyBorder="1" applyAlignment="1" applyProtection="1">
      <alignment horizontal="left" vertical="center"/>
    </xf>
    <xf numFmtId="49" fontId="15" fillId="3" borderId="38" xfId="0" applyNumberFormat="1" applyFont="1" applyFill="1" applyBorder="1" applyAlignment="1" applyProtection="1">
      <alignment horizontal="left" vertical="center"/>
    </xf>
    <xf numFmtId="0" fontId="15" fillId="3" borderId="34" xfId="0" applyNumberFormat="1" applyFont="1" applyFill="1" applyBorder="1" applyAlignment="1" applyProtection="1">
      <alignment horizontal="left" vertical="center"/>
    </xf>
    <xf numFmtId="49" fontId="16" fillId="0" borderId="33" xfId="0" applyNumberFormat="1" applyFont="1" applyFill="1" applyBorder="1" applyAlignment="1" applyProtection="1">
      <alignment horizontal="left" vertical="center"/>
    </xf>
    <xf numFmtId="0" fontId="16" fillId="0" borderId="13" xfId="0" applyNumberFormat="1" applyFont="1" applyFill="1" applyBorder="1" applyAlignment="1" applyProtection="1">
      <alignment horizontal="left" vertical="center"/>
    </xf>
    <xf numFmtId="0" fontId="16" fillId="0" borderId="32" xfId="0" applyNumberFormat="1" applyFont="1" applyFill="1" applyBorder="1" applyAlignment="1" applyProtection="1">
      <alignment horizontal="left" vertical="center"/>
    </xf>
    <xf numFmtId="49" fontId="16" fillId="0" borderId="26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31" xfId="0" applyNumberFormat="1" applyFont="1" applyFill="1" applyBorder="1" applyAlignment="1" applyProtection="1">
      <alignment horizontal="left"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10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Fill="1" applyBorder="1" applyAlignment="1" applyProtection="1">
      <alignment vertical="center"/>
    </xf>
  </cellXfs>
  <cellStyles count="3">
    <cellStyle name="Chybně" xfId="2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2"/>
  <sheetViews>
    <sheetView tabSelected="1" zoomScaleNormal="100" workbookViewId="0">
      <pane ySplit="11" topLeftCell="A42" activePane="bottomLeft" state="frozenSplit"/>
      <selection pane="bottomLeft" activeCell="G73" sqref="G73"/>
    </sheetView>
  </sheetViews>
  <sheetFormatPr defaultColWidth="11.5546875" defaultRowHeight="13.2" x14ac:dyDescent="0.25"/>
  <cols>
    <col min="1" max="1" width="3.6640625" customWidth="1"/>
    <col min="2" max="2" width="7.5546875" customWidth="1"/>
    <col min="3" max="3" width="14.33203125" customWidth="1"/>
    <col min="4" max="4" width="49.6640625" customWidth="1"/>
    <col min="5" max="5" width="6.44140625" customWidth="1"/>
    <col min="6" max="6" width="12.88671875" customWidth="1"/>
    <col min="7" max="7" width="12" customWidth="1"/>
    <col min="8" max="9" width="14.33203125" customWidth="1"/>
    <col min="10" max="10" width="14.109375" customWidth="1"/>
    <col min="11" max="12" width="11.6640625" customWidth="1"/>
    <col min="24" max="57" width="12.109375" hidden="1" customWidth="1"/>
    <col min="58" max="58" width="4.44140625" hidden="1" customWidth="1"/>
    <col min="59" max="62" width="12.109375" hidden="1" customWidth="1"/>
    <col min="63" max="63" width="12.44140625" hidden="1" customWidth="1"/>
  </cols>
  <sheetData>
    <row r="1" spans="1:63" ht="72.900000000000006" customHeight="1" x14ac:dyDescent="0.25">
      <c r="A1" s="169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63" x14ac:dyDescent="0.25">
      <c r="A2" s="171" t="s">
        <v>1</v>
      </c>
      <c r="B2" s="172"/>
      <c r="C2" s="172"/>
      <c r="D2" s="175" t="s">
        <v>235</v>
      </c>
      <c r="E2" s="177" t="s">
        <v>67</v>
      </c>
      <c r="F2" s="172"/>
      <c r="G2" s="177" t="s">
        <v>6</v>
      </c>
      <c r="H2" s="178" t="s">
        <v>79</v>
      </c>
      <c r="I2" s="178" t="s">
        <v>86</v>
      </c>
      <c r="J2" s="172"/>
      <c r="K2" s="172"/>
      <c r="L2" s="172"/>
      <c r="M2" s="5"/>
    </row>
    <row r="3" spans="1:63" x14ac:dyDescent="0.25">
      <c r="A3" s="173"/>
      <c r="B3" s="174"/>
      <c r="C3" s="174"/>
      <c r="D3" s="176"/>
      <c r="E3" s="174"/>
      <c r="F3" s="174"/>
      <c r="G3" s="174"/>
      <c r="H3" s="174"/>
      <c r="I3" s="174"/>
      <c r="J3" s="174"/>
      <c r="K3" s="174"/>
      <c r="L3" s="174"/>
      <c r="M3" s="5"/>
    </row>
    <row r="4" spans="1:63" x14ac:dyDescent="0.25">
      <c r="A4" s="180" t="s">
        <v>2</v>
      </c>
      <c r="B4" s="174"/>
      <c r="C4" s="174"/>
      <c r="D4" s="179" t="s">
        <v>6</v>
      </c>
      <c r="E4" s="181" t="s">
        <v>68</v>
      </c>
      <c r="F4" s="174"/>
      <c r="G4" s="181" t="s">
        <v>6</v>
      </c>
      <c r="H4" s="179" t="s">
        <v>80</v>
      </c>
      <c r="I4" s="182" t="s">
        <v>87</v>
      </c>
      <c r="J4" s="174"/>
      <c r="K4" s="174"/>
      <c r="L4" s="183"/>
      <c r="M4" s="5"/>
    </row>
    <row r="5" spans="1:63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83"/>
      <c r="M5" s="5"/>
    </row>
    <row r="6" spans="1:63" x14ac:dyDescent="0.25">
      <c r="A6" s="180" t="s">
        <v>3</v>
      </c>
      <c r="B6" s="174"/>
      <c r="C6" s="174"/>
      <c r="D6" s="179" t="s">
        <v>36</v>
      </c>
      <c r="E6" s="181" t="s">
        <v>69</v>
      </c>
      <c r="F6" s="174"/>
      <c r="G6" s="181" t="s">
        <v>6</v>
      </c>
      <c r="H6" s="179" t="s">
        <v>81</v>
      </c>
      <c r="I6" s="179" t="s">
        <v>88</v>
      </c>
      <c r="J6" s="174"/>
      <c r="K6" s="174"/>
      <c r="L6" s="174"/>
      <c r="M6" s="5"/>
    </row>
    <row r="7" spans="1:63" x14ac:dyDescent="0.25">
      <c r="A7" s="173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5"/>
    </row>
    <row r="8" spans="1:63" x14ac:dyDescent="0.25">
      <c r="A8" s="180" t="s">
        <v>4</v>
      </c>
      <c r="B8" s="174"/>
      <c r="C8" s="174"/>
      <c r="D8" s="179" t="s">
        <v>6</v>
      </c>
      <c r="E8" s="181" t="s">
        <v>70</v>
      </c>
      <c r="F8" s="174"/>
      <c r="G8" s="181" t="s">
        <v>226</v>
      </c>
      <c r="H8" s="179" t="s">
        <v>82</v>
      </c>
      <c r="I8" s="179" t="s">
        <v>172</v>
      </c>
      <c r="J8" s="174"/>
      <c r="K8" s="174"/>
      <c r="L8" s="174"/>
      <c r="M8" s="5"/>
    </row>
    <row r="9" spans="1:63" ht="13.8" thickBot="1" x14ac:dyDescent="0.3">
      <c r="A9" s="192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5"/>
    </row>
    <row r="10" spans="1:63" x14ac:dyDescent="0.25">
      <c r="A10" s="1" t="s">
        <v>5</v>
      </c>
      <c r="B10" s="10" t="s">
        <v>20</v>
      </c>
      <c r="C10" s="10" t="s">
        <v>21</v>
      </c>
      <c r="D10" s="100" t="s">
        <v>37</v>
      </c>
      <c r="E10" s="100" t="s">
        <v>71</v>
      </c>
      <c r="F10" s="101" t="s">
        <v>76</v>
      </c>
      <c r="G10" s="102" t="s">
        <v>77</v>
      </c>
      <c r="H10" s="188" t="s">
        <v>83</v>
      </c>
      <c r="I10" s="189"/>
      <c r="J10" s="190"/>
      <c r="K10" s="191" t="s">
        <v>91</v>
      </c>
      <c r="L10" s="190"/>
      <c r="M10" s="32"/>
      <c r="BJ10" s="30" t="s">
        <v>117</v>
      </c>
      <c r="BK10" s="36" t="s">
        <v>119</v>
      </c>
    </row>
    <row r="11" spans="1:63" x14ac:dyDescent="0.25">
      <c r="A11" s="2" t="s">
        <v>6</v>
      </c>
      <c r="B11" s="11" t="s">
        <v>6</v>
      </c>
      <c r="C11" s="11" t="s">
        <v>6</v>
      </c>
      <c r="D11" s="18" t="s">
        <v>38</v>
      </c>
      <c r="E11" s="11" t="s">
        <v>6</v>
      </c>
      <c r="F11" s="11" t="s">
        <v>6</v>
      </c>
      <c r="G11" s="25" t="s">
        <v>78</v>
      </c>
      <c r="H11" s="26" t="s">
        <v>84</v>
      </c>
      <c r="I11" s="27" t="s">
        <v>89</v>
      </c>
      <c r="J11" s="28" t="s">
        <v>90</v>
      </c>
      <c r="K11" s="26" t="s">
        <v>92</v>
      </c>
      <c r="L11" s="28" t="s">
        <v>90</v>
      </c>
      <c r="M11" s="32"/>
      <c r="Y11" s="30" t="s">
        <v>93</v>
      </c>
      <c r="Z11" s="30" t="s">
        <v>94</v>
      </c>
      <c r="AA11" s="30" t="s">
        <v>95</v>
      </c>
      <c r="AB11" s="30" t="s">
        <v>96</v>
      </c>
      <c r="AC11" s="30" t="s">
        <v>97</v>
      </c>
      <c r="AD11" s="30" t="s">
        <v>98</v>
      </c>
      <c r="AE11" s="30" t="s">
        <v>99</v>
      </c>
      <c r="AF11" s="30" t="s">
        <v>100</v>
      </c>
      <c r="AG11" s="30" t="s">
        <v>101</v>
      </c>
      <c r="BG11" s="30" t="s">
        <v>114</v>
      </c>
      <c r="BH11" s="30" t="s">
        <v>115</v>
      </c>
      <c r="BI11" s="30" t="s">
        <v>116</v>
      </c>
    </row>
    <row r="12" spans="1:63" x14ac:dyDescent="0.25">
      <c r="A12" s="3"/>
      <c r="B12" s="12"/>
      <c r="C12" s="12" t="s">
        <v>22</v>
      </c>
      <c r="D12" s="12" t="s">
        <v>39</v>
      </c>
      <c r="E12" s="21" t="s">
        <v>6</v>
      </c>
      <c r="F12" s="21" t="s">
        <v>6</v>
      </c>
      <c r="G12" s="21" t="s">
        <v>6</v>
      </c>
      <c r="H12" s="37">
        <f>SUM(H13:H25)</f>
        <v>0</v>
      </c>
      <c r="I12" s="37">
        <f>SUM(I13:I25)</f>
        <v>0</v>
      </c>
      <c r="J12" s="37">
        <f>SUM(J13:J25)</f>
        <v>0</v>
      </c>
      <c r="K12" s="29"/>
      <c r="L12" s="146">
        <f>SUM(L13:L25)</f>
        <v>0</v>
      </c>
      <c r="M12" s="72"/>
      <c r="AH12" s="30"/>
      <c r="AR12" s="38">
        <f>SUM(AI13:AI25)</f>
        <v>0</v>
      </c>
      <c r="AS12" s="38">
        <f>SUM(AJ13:AJ25)</f>
        <v>0</v>
      </c>
      <c r="AT12" s="38">
        <f>SUM(AK13:AK25)</f>
        <v>0</v>
      </c>
    </row>
    <row r="13" spans="1:63" x14ac:dyDescent="0.25">
      <c r="A13" s="4" t="s">
        <v>7</v>
      </c>
      <c r="B13" s="13"/>
      <c r="C13" s="13" t="s">
        <v>23</v>
      </c>
      <c r="D13" s="13" t="s">
        <v>40</v>
      </c>
      <c r="E13" s="13" t="s">
        <v>72</v>
      </c>
      <c r="F13" s="23">
        <v>1</v>
      </c>
      <c r="G13" s="160"/>
      <c r="H13" s="23">
        <f>F13*AN13</f>
        <v>0</v>
      </c>
      <c r="I13" s="23">
        <f>F13*AO13</f>
        <v>0</v>
      </c>
      <c r="J13" s="23">
        <f>F13*G13</f>
        <v>0</v>
      </c>
      <c r="K13" s="23">
        <v>0</v>
      </c>
      <c r="L13" s="95">
        <f>F13*K13</f>
        <v>0</v>
      </c>
      <c r="M13" s="72"/>
      <c r="Y13" s="33">
        <f>IF(AP13="5",BI13,0)</f>
        <v>0</v>
      </c>
      <c r="AA13" s="33">
        <f>IF(AP13="1",BG13,0)</f>
        <v>0</v>
      </c>
      <c r="AB13" s="33">
        <f>IF(AP13="1",BH13,0)</f>
        <v>0</v>
      </c>
      <c r="AC13" s="33">
        <f>IF(AP13="7",BG13,0)</f>
        <v>0</v>
      </c>
      <c r="AD13" s="33">
        <f>IF(AP13="7",BH13,0)</f>
        <v>0</v>
      </c>
      <c r="AE13" s="33">
        <f>IF(AP13="2",BG13,0)</f>
        <v>0</v>
      </c>
      <c r="AF13" s="33">
        <f>IF(AP13="2",BH13,0)</f>
        <v>0</v>
      </c>
      <c r="AG13" s="33">
        <f>IF(AP13="0",BI13,0)</f>
        <v>0</v>
      </c>
      <c r="AH13" s="30"/>
      <c r="AI13" s="23">
        <f>IF(AM13=0,J13,0)</f>
        <v>0</v>
      </c>
      <c r="AJ13" s="23">
        <f>IF(AM13=15,J13,0)</f>
        <v>0</v>
      </c>
      <c r="AK13" s="23">
        <f>IF(AM13=21,J13,0)</f>
        <v>0</v>
      </c>
      <c r="AM13" s="33">
        <v>21</v>
      </c>
      <c r="AN13" s="33">
        <f>G13*0</f>
        <v>0</v>
      </c>
      <c r="AO13" s="33">
        <f>G13*(1-0)</f>
        <v>0</v>
      </c>
      <c r="AP13" s="34" t="s">
        <v>7</v>
      </c>
      <c r="AU13" s="33">
        <f>AV13+AW13</f>
        <v>0</v>
      </c>
      <c r="AV13" s="33">
        <f>F13*AN13</f>
        <v>0</v>
      </c>
      <c r="AW13" s="33">
        <f>F13*AO13</f>
        <v>0</v>
      </c>
      <c r="AX13" s="35" t="s">
        <v>102</v>
      </c>
      <c r="AY13" s="35" t="s">
        <v>109</v>
      </c>
      <c r="AZ13" s="30" t="s">
        <v>113</v>
      </c>
      <c r="BB13" s="33">
        <f>AV13+AW13</f>
        <v>0</v>
      </c>
      <c r="BC13" s="33">
        <f>G13/(100-BD13)*100</f>
        <v>0</v>
      </c>
      <c r="BD13" s="33">
        <v>0</v>
      </c>
      <c r="BE13" s="33">
        <f>L13</f>
        <v>0</v>
      </c>
      <c r="BG13" s="23">
        <f>F13*AN13</f>
        <v>0</v>
      </c>
      <c r="BH13" s="23">
        <f>F13*AO13</f>
        <v>0</v>
      </c>
      <c r="BI13" s="23">
        <f>F13*G13</f>
        <v>0</v>
      </c>
      <c r="BJ13" s="23" t="s">
        <v>118</v>
      </c>
      <c r="BK13" s="33" t="s">
        <v>22</v>
      </c>
    </row>
    <row r="14" spans="1:63" ht="57" customHeight="1" x14ac:dyDescent="0.25">
      <c r="A14" s="5"/>
      <c r="C14" s="16" t="s">
        <v>18</v>
      </c>
      <c r="D14" s="184" t="s">
        <v>176</v>
      </c>
      <c r="E14" s="185"/>
      <c r="F14" s="185"/>
      <c r="G14" s="185"/>
      <c r="H14" s="185"/>
      <c r="I14" s="185"/>
      <c r="J14" s="185"/>
      <c r="K14" s="185"/>
      <c r="L14" s="186"/>
      <c r="M14" s="72"/>
    </row>
    <row r="15" spans="1:63" x14ac:dyDescent="0.25">
      <c r="A15" s="4" t="s">
        <v>8</v>
      </c>
      <c r="B15" s="13"/>
      <c r="C15" s="13" t="s">
        <v>23</v>
      </c>
      <c r="D15" s="13" t="s">
        <v>41</v>
      </c>
      <c r="E15" s="13" t="s">
        <v>72</v>
      </c>
      <c r="F15" s="23">
        <v>1</v>
      </c>
      <c r="G15" s="160"/>
      <c r="H15" s="23">
        <f>F15*AN15</f>
        <v>0</v>
      </c>
      <c r="I15" s="23">
        <f>F15*AO15</f>
        <v>0</v>
      </c>
      <c r="J15" s="23">
        <f>F15*G15</f>
        <v>0</v>
      </c>
      <c r="K15" s="23">
        <v>0</v>
      </c>
      <c r="L15" s="95">
        <f>F15*K15</f>
        <v>0</v>
      </c>
      <c r="M15" s="72"/>
      <c r="Y15" s="33">
        <f>IF(AP15="5",BI15,0)</f>
        <v>0</v>
      </c>
      <c r="AA15" s="33">
        <f>IF(AP15="1",BG15,0)</f>
        <v>0</v>
      </c>
      <c r="AB15" s="33">
        <f>IF(AP15="1",BH15,0)</f>
        <v>0</v>
      </c>
      <c r="AC15" s="33">
        <f>IF(AP15="7",BG15,0)</f>
        <v>0</v>
      </c>
      <c r="AD15" s="33">
        <f>IF(AP15="7",BH15,0)</f>
        <v>0</v>
      </c>
      <c r="AE15" s="33">
        <f>IF(AP15="2",BG15,0)</f>
        <v>0</v>
      </c>
      <c r="AF15" s="33">
        <f>IF(AP15="2",BH15,0)</f>
        <v>0</v>
      </c>
      <c r="AG15" s="33">
        <f>IF(AP15="0",BI15,0)</f>
        <v>0</v>
      </c>
      <c r="AH15" s="30"/>
      <c r="AI15" s="23">
        <f>IF(AM15=0,J15,0)</f>
        <v>0</v>
      </c>
      <c r="AJ15" s="23">
        <f>IF(AM15=15,J15,0)</f>
        <v>0</v>
      </c>
      <c r="AK15" s="23">
        <f>IF(AM15=21,J15,0)</f>
        <v>0</v>
      </c>
      <c r="AM15" s="33">
        <v>21</v>
      </c>
      <c r="AN15" s="33">
        <f>G15*0</f>
        <v>0</v>
      </c>
      <c r="AO15" s="33">
        <f>G15*(1-0)</f>
        <v>0</v>
      </c>
      <c r="AP15" s="34" t="s">
        <v>7</v>
      </c>
      <c r="AU15" s="33">
        <f>AV15+AW15</f>
        <v>0</v>
      </c>
      <c r="AV15" s="33">
        <f>F15*AN15</f>
        <v>0</v>
      </c>
      <c r="AW15" s="33">
        <f>F15*AO15</f>
        <v>0</v>
      </c>
      <c r="AX15" s="35" t="s">
        <v>102</v>
      </c>
      <c r="AY15" s="35" t="s">
        <v>109</v>
      </c>
      <c r="AZ15" s="30" t="s">
        <v>113</v>
      </c>
      <c r="BB15" s="33">
        <f>AV15+AW15</f>
        <v>0</v>
      </c>
      <c r="BC15" s="33">
        <f>G15/(100-BD15)*100</f>
        <v>0</v>
      </c>
      <c r="BD15" s="33">
        <v>0</v>
      </c>
      <c r="BE15" s="33">
        <f>L15</f>
        <v>0</v>
      </c>
      <c r="BG15" s="23">
        <f>F15*AN15</f>
        <v>0</v>
      </c>
      <c r="BH15" s="23">
        <f>F15*AO15</f>
        <v>0</v>
      </c>
      <c r="BI15" s="23">
        <f>F15*G15</f>
        <v>0</v>
      </c>
      <c r="BJ15" s="23" t="s">
        <v>118</v>
      </c>
      <c r="BK15" s="33" t="s">
        <v>22</v>
      </c>
    </row>
    <row r="16" spans="1:63" x14ac:dyDescent="0.25">
      <c r="A16" s="5"/>
      <c r="C16" s="16" t="s">
        <v>18</v>
      </c>
      <c r="D16" s="184" t="s">
        <v>42</v>
      </c>
      <c r="E16" s="185"/>
      <c r="F16" s="185"/>
      <c r="G16" s="185"/>
      <c r="H16" s="185"/>
      <c r="I16" s="185"/>
      <c r="J16" s="185"/>
      <c r="K16" s="185"/>
      <c r="L16" s="186"/>
      <c r="M16" s="72"/>
    </row>
    <row r="17" spans="1:63" x14ac:dyDescent="0.25">
      <c r="A17" s="4" t="s">
        <v>9</v>
      </c>
      <c r="B17" s="13"/>
      <c r="C17" s="13" t="s">
        <v>23</v>
      </c>
      <c r="D17" s="13" t="s">
        <v>43</v>
      </c>
      <c r="E17" s="13" t="s">
        <v>72</v>
      </c>
      <c r="F17" s="23">
        <v>1</v>
      </c>
      <c r="G17" s="160"/>
      <c r="H17" s="23">
        <f>F17*AN17</f>
        <v>0</v>
      </c>
      <c r="I17" s="23">
        <f>F17*AO17</f>
        <v>0</v>
      </c>
      <c r="J17" s="23">
        <f>F17*G17</f>
        <v>0</v>
      </c>
      <c r="K17" s="23">
        <v>0</v>
      </c>
      <c r="L17" s="95">
        <f>F17*K17</f>
        <v>0</v>
      </c>
      <c r="M17" s="72"/>
      <c r="Y17" s="33">
        <f>IF(AP17="5",BI17,0)</f>
        <v>0</v>
      </c>
      <c r="AA17" s="33">
        <f>IF(AP17="1",BG17,0)</f>
        <v>0</v>
      </c>
      <c r="AB17" s="33">
        <f>IF(AP17="1",BH17,0)</f>
        <v>0</v>
      </c>
      <c r="AC17" s="33">
        <f>IF(AP17="7",BG17,0)</f>
        <v>0</v>
      </c>
      <c r="AD17" s="33">
        <f>IF(AP17="7",BH17,0)</f>
        <v>0</v>
      </c>
      <c r="AE17" s="33">
        <f>IF(AP17="2",BG17,0)</f>
        <v>0</v>
      </c>
      <c r="AF17" s="33">
        <f>IF(AP17="2",BH17,0)</f>
        <v>0</v>
      </c>
      <c r="AG17" s="33">
        <f>IF(AP17="0",BI17,0)</f>
        <v>0</v>
      </c>
      <c r="AH17" s="30"/>
      <c r="AI17" s="23">
        <f>IF(AM17=0,J17,0)</f>
        <v>0</v>
      </c>
      <c r="AJ17" s="23">
        <f>IF(AM17=15,J17,0)</f>
        <v>0</v>
      </c>
      <c r="AK17" s="23">
        <f>IF(AM17=21,J17,0)</f>
        <v>0</v>
      </c>
      <c r="AM17" s="33">
        <v>21</v>
      </c>
      <c r="AN17" s="33">
        <f>G17*0</f>
        <v>0</v>
      </c>
      <c r="AO17" s="33">
        <f>G17*(1-0)</f>
        <v>0</v>
      </c>
      <c r="AP17" s="34" t="s">
        <v>7</v>
      </c>
      <c r="AU17" s="33">
        <f>AV17+AW17</f>
        <v>0</v>
      </c>
      <c r="AV17" s="33">
        <f>F17*AN17</f>
        <v>0</v>
      </c>
      <c r="AW17" s="33">
        <f>F17*AO17</f>
        <v>0</v>
      </c>
      <c r="AX17" s="35" t="s">
        <v>102</v>
      </c>
      <c r="AY17" s="35" t="s">
        <v>109</v>
      </c>
      <c r="AZ17" s="30" t="s">
        <v>113</v>
      </c>
      <c r="BB17" s="33">
        <f>AV17+AW17</f>
        <v>0</v>
      </c>
      <c r="BC17" s="33">
        <f>G17/(100-BD17)*100</f>
        <v>0</v>
      </c>
      <c r="BD17" s="33">
        <v>0</v>
      </c>
      <c r="BE17" s="33">
        <f>L17</f>
        <v>0</v>
      </c>
      <c r="BG17" s="23">
        <f>F17*AN17</f>
        <v>0</v>
      </c>
      <c r="BH17" s="23">
        <f>F17*AO17</f>
        <v>0</v>
      </c>
      <c r="BI17" s="23">
        <f>F17*G17</f>
        <v>0</v>
      </c>
      <c r="BJ17" s="23" t="s">
        <v>118</v>
      </c>
      <c r="BK17" s="33" t="s">
        <v>22</v>
      </c>
    </row>
    <row r="18" spans="1:63" ht="25.65" customHeight="1" x14ac:dyDescent="0.25">
      <c r="A18" s="5"/>
      <c r="C18" s="16" t="s">
        <v>18</v>
      </c>
      <c r="D18" s="184" t="s">
        <v>44</v>
      </c>
      <c r="E18" s="185"/>
      <c r="F18" s="185"/>
      <c r="G18" s="185"/>
      <c r="H18" s="185"/>
      <c r="I18" s="185"/>
      <c r="J18" s="185"/>
      <c r="K18" s="185"/>
      <c r="L18" s="186"/>
      <c r="M18" s="72"/>
    </row>
    <row r="19" spans="1:63" x14ac:dyDescent="0.25">
      <c r="A19" s="4" t="s">
        <v>10</v>
      </c>
      <c r="B19" s="13"/>
      <c r="C19" s="13" t="s">
        <v>23</v>
      </c>
      <c r="D19" s="13" t="s">
        <v>45</v>
      </c>
      <c r="E19" s="13" t="s">
        <v>72</v>
      </c>
      <c r="F19" s="23">
        <v>1</v>
      </c>
      <c r="G19" s="160"/>
      <c r="H19" s="23">
        <f>F19*AN19</f>
        <v>0</v>
      </c>
      <c r="I19" s="23">
        <f>F19*AO19</f>
        <v>0</v>
      </c>
      <c r="J19" s="23">
        <f>F19*G19</f>
        <v>0</v>
      </c>
      <c r="K19" s="23">
        <v>0</v>
      </c>
      <c r="L19" s="95">
        <f>F19*K19</f>
        <v>0</v>
      </c>
      <c r="M19" s="72"/>
      <c r="Y19" s="33">
        <f>IF(AP19="5",BI19,0)</f>
        <v>0</v>
      </c>
      <c r="AA19" s="33">
        <f>IF(AP19="1",BG19,0)</f>
        <v>0</v>
      </c>
      <c r="AB19" s="33">
        <f>IF(AP19="1",BH19,0)</f>
        <v>0</v>
      </c>
      <c r="AC19" s="33">
        <f>IF(AP19="7",BG19,0)</f>
        <v>0</v>
      </c>
      <c r="AD19" s="33">
        <f>IF(AP19="7",BH19,0)</f>
        <v>0</v>
      </c>
      <c r="AE19" s="33">
        <f>IF(AP19="2",BG19,0)</f>
        <v>0</v>
      </c>
      <c r="AF19" s="33">
        <f>IF(AP19="2",BH19,0)</f>
        <v>0</v>
      </c>
      <c r="AG19" s="33">
        <f>IF(AP19="0",BI19,0)</f>
        <v>0</v>
      </c>
      <c r="AH19" s="30"/>
      <c r="AI19" s="23">
        <f>IF(AM19=0,J19,0)</f>
        <v>0</v>
      </c>
      <c r="AJ19" s="23">
        <f>IF(AM19=15,J19,0)</f>
        <v>0</v>
      </c>
      <c r="AK19" s="23">
        <f>IF(AM19=21,J19,0)</f>
        <v>0</v>
      </c>
      <c r="AM19" s="33">
        <v>21</v>
      </c>
      <c r="AN19" s="33">
        <f>G19*0</f>
        <v>0</v>
      </c>
      <c r="AO19" s="33">
        <f>G19*(1-0)</f>
        <v>0</v>
      </c>
      <c r="AP19" s="34" t="s">
        <v>7</v>
      </c>
      <c r="AU19" s="33">
        <f>AV19+AW19</f>
        <v>0</v>
      </c>
      <c r="AV19" s="33">
        <f>F19*AN19</f>
        <v>0</v>
      </c>
      <c r="AW19" s="33">
        <f>F19*AO19</f>
        <v>0</v>
      </c>
      <c r="AX19" s="35" t="s">
        <v>102</v>
      </c>
      <c r="AY19" s="35" t="s">
        <v>109</v>
      </c>
      <c r="AZ19" s="30" t="s">
        <v>113</v>
      </c>
      <c r="BB19" s="33">
        <f>AV19+AW19</f>
        <v>0</v>
      </c>
      <c r="BC19" s="33">
        <f>G19/(100-BD19)*100</f>
        <v>0</v>
      </c>
      <c r="BD19" s="33">
        <v>0</v>
      </c>
      <c r="BE19" s="33">
        <f>L19</f>
        <v>0</v>
      </c>
      <c r="BG19" s="23">
        <f>F19*AN19</f>
        <v>0</v>
      </c>
      <c r="BH19" s="23">
        <f>F19*AO19</f>
        <v>0</v>
      </c>
      <c r="BI19" s="23">
        <f>F19*G19</f>
        <v>0</v>
      </c>
      <c r="BJ19" s="23" t="s">
        <v>118</v>
      </c>
      <c r="BK19" s="33" t="s">
        <v>22</v>
      </c>
    </row>
    <row r="20" spans="1:63" x14ac:dyDescent="0.25">
      <c r="A20" s="5"/>
      <c r="C20" s="16" t="s">
        <v>18</v>
      </c>
      <c r="D20" s="184" t="s">
        <v>46</v>
      </c>
      <c r="E20" s="185"/>
      <c r="F20" s="185"/>
      <c r="G20" s="185"/>
      <c r="H20" s="185"/>
      <c r="I20" s="185"/>
      <c r="J20" s="185"/>
      <c r="K20" s="185"/>
      <c r="L20" s="186"/>
      <c r="M20" s="72"/>
    </row>
    <row r="21" spans="1:63" x14ac:dyDescent="0.25">
      <c r="A21" s="86" t="s">
        <v>11</v>
      </c>
      <c r="B21" s="70"/>
      <c r="C21" s="70" t="s">
        <v>23</v>
      </c>
      <c r="D21" s="70" t="s">
        <v>47</v>
      </c>
      <c r="E21" s="70" t="s">
        <v>72</v>
      </c>
      <c r="F21" s="71">
        <v>1</v>
      </c>
      <c r="G21" s="161"/>
      <c r="H21" s="71">
        <f>F21*AN21</f>
        <v>0</v>
      </c>
      <c r="I21" s="71">
        <f>F21*AO21</f>
        <v>0</v>
      </c>
      <c r="J21" s="71">
        <f>F21*G21</f>
        <v>0</v>
      </c>
      <c r="K21" s="71">
        <v>0</v>
      </c>
      <c r="L21" s="154">
        <f>F21*K21</f>
        <v>0</v>
      </c>
      <c r="M21" s="72"/>
      <c r="Y21" s="33">
        <f>IF(AP21="5",BI21,0)</f>
        <v>0</v>
      </c>
      <c r="AA21" s="33">
        <f>IF(AP21="1",BG21,0)</f>
        <v>0</v>
      </c>
      <c r="AB21" s="33">
        <f>IF(AP21="1",BH21,0)</f>
        <v>0</v>
      </c>
      <c r="AC21" s="33">
        <f>IF(AP21="7",BG21,0)</f>
        <v>0</v>
      </c>
      <c r="AD21" s="33">
        <f>IF(AP21="7",BH21,0)</f>
        <v>0</v>
      </c>
      <c r="AE21" s="33">
        <f>IF(AP21="2",BG21,0)</f>
        <v>0</v>
      </c>
      <c r="AF21" s="33">
        <f>IF(AP21="2",BH21,0)</f>
        <v>0</v>
      </c>
      <c r="AG21" s="33">
        <f>IF(AP21="0",BI21,0)</f>
        <v>0</v>
      </c>
      <c r="AH21" s="30"/>
      <c r="AI21" s="23">
        <f>IF(AM21=0,J21,0)</f>
        <v>0</v>
      </c>
      <c r="AJ21" s="23">
        <f>IF(AM21=15,J21,0)</f>
        <v>0</v>
      </c>
      <c r="AK21" s="23">
        <f>IF(AM21=21,J21,0)</f>
        <v>0</v>
      </c>
      <c r="AM21" s="33">
        <v>21</v>
      </c>
      <c r="AN21" s="33">
        <f>G21*0</f>
        <v>0</v>
      </c>
      <c r="AO21" s="33">
        <f>G21*(1-0)</f>
        <v>0</v>
      </c>
      <c r="AP21" s="34" t="s">
        <v>7</v>
      </c>
      <c r="AU21" s="33">
        <f>AV21+AW21</f>
        <v>0</v>
      </c>
      <c r="AV21" s="33">
        <f>F21*AN21</f>
        <v>0</v>
      </c>
      <c r="AW21" s="33">
        <f>F21*AO21</f>
        <v>0</v>
      </c>
      <c r="AX21" s="35" t="s">
        <v>102</v>
      </c>
      <c r="AY21" s="35" t="s">
        <v>109</v>
      </c>
      <c r="AZ21" s="30" t="s">
        <v>113</v>
      </c>
      <c r="BB21" s="33">
        <f>AV21+AW21</f>
        <v>0</v>
      </c>
      <c r="BC21" s="33">
        <f>G21/(100-BD21)*100</f>
        <v>0</v>
      </c>
      <c r="BD21" s="33">
        <v>0</v>
      </c>
      <c r="BE21" s="33">
        <f>L21</f>
        <v>0</v>
      </c>
      <c r="BG21" s="23">
        <f>F21*AN21</f>
        <v>0</v>
      </c>
      <c r="BH21" s="23">
        <f>F21*AO21</f>
        <v>0</v>
      </c>
      <c r="BI21" s="23">
        <f>F21*G21</f>
        <v>0</v>
      </c>
      <c r="BJ21" s="23" t="s">
        <v>118</v>
      </c>
      <c r="BK21" s="33" t="s">
        <v>22</v>
      </c>
    </row>
    <row r="22" spans="1:63" x14ac:dyDescent="0.25">
      <c r="A22" s="5"/>
      <c r="C22" s="16" t="s">
        <v>18</v>
      </c>
      <c r="D22" s="184" t="s">
        <v>48</v>
      </c>
      <c r="E22" s="185"/>
      <c r="F22" s="185"/>
      <c r="G22" s="185"/>
      <c r="H22" s="185"/>
      <c r="I22" s="185"/>
      <c r="J22" s="185"/>
      <c r="K22" s="185"/>
      <c r="L22" s="186"/>
      <c r="M22" s="72"/>
    </row>
    <row r="23" spans="1:63" x14ac:dyDescent="0.25">
      <c r="A23" s="87" t="s">
        <v>12</v>
      </c>
      <c r="B23" s="13"/>
      <c r="C23" s="13" t="s">
        <v>23</v>
      </c>
      <c r="D23" s="13" t="s">
        <v>49</v>
      </c>
      <c r="E23" s="13" t="s">
        <v>72</v>
      </c>
      <c r="F23" s="23">
        <v>1</v>
      </c>
      <c r="G23" s="160"/>
      <c r="H23" s="23">
        <f>F23*AN23</f>
        <v>0</v>
      </c>
      <c r="I23" s="23">
        <f>F23*AO23</f>
        <v>0</v>
      </c>
      <c r="J23" s="23">
        <f>F23*G23</f>
        <v>0</v>
      </c>
      <c r="K23" s="23">
        <v>0</v>
      </c>
      <c r="L23" s="95">
        <f>F23*K23</f>
        <v>0</v>
      </c>
      <c r="M23" s="72"/>
      <c r="Y23" s="33">
        <f>IF(AP23="5",BI23,0)</f>
        <v>0</v>
      </c>
      <c r="AA23" s="33">
        <f>IF(AP23="1",BG23,0)</f>
        <v>0</v>
      </c>
      <c r="AB23" s="33">
        <f>IF(AP23="1",BH23,0)</f>
        <v>0</v>
      </c>
      <c r="AC23" s="33">
        <f>IF(AP23="7",BG23,0)</f>
        <v>0</v>
      </c>
      <c r="AD23" s="33">
        <f>IF(AP23="7",BH23,0)</f>
        <v>0</v>
      </c>
      <c r="AE23" s="33">
        <f>IF(AP23="2",BG23,0)</f>
        <v>0</v>
      </c>
      <c r="AF23" s="33">
        <f>IF(AP23="2",BH23,0)</f>
        <v>0</v>
      </c>
      <c r="AG23" s="33">
        <f>IF(AP23="0",BI23,0)</f>
        <v>0</v>
      </c>
      <c r="AH23" s="30"/>
      <c r="AI23" s="23">
        <f>IF(AM23=0,J23,0)</f>
        <v>0</v>
      </c>
      <c r="AJ23" s="23">
        <f>IF(AM23=15,J23,0)</f>
        <v>0</v>
      </c>
      <c r="AK23" s="23">
        <f>IF(AM23=21,J23,0)</f>
        <v>0</v>
      </c>
      <c r="AM23" s="33">
        <v>21</v>
      </c>
      <c r="AN23" s="33">
        <f>G23*0</f>
        <v>0</v>
      </c>
      <c r="AO23" s="33">
        <f>G23*(1-0)</f>
        <v>0</v>
      </c>
      <c r="AP23" s="34" t="s">
        <v>7</v>
      </c>
      <c r="AU23" s="33">
        <f>AV23+AW23</f>
        <v>0</v>
      </c>
      <c r="AV23" s="33">
        <f>F23*AN23</f>
        <v>0</v>
      </c>
      <c r="AW23" s="33">
        <f>F23*AO23</f>
        <v>0</v>
      </c>
      <c r="AX23" s="35" t="s">
        <v>102</v>
      </c>
      <c r="AY23" s="35" t="s">
        <v>109</v>
      </c>
      <c r="AZ23" s="30" t="s">
        <v>113</v>
      </c>
      <c r="BB23" s="33">
        <f>AV23+AW23</f>
        <v>0</v>
      </c>
      <c r="BC23" s="33">
        <f>G23/(100-BD23)*100</f>
        <v>0</v>
      </c>
      <c r="BD23" s="33">
        <v>0</v>
      </c>
      <c r="BE23" s="33">
        <f>L23</f>
        <v>0</v>
      </c>
      <c r="BG23" s="23">
        <f>F23*AN23</f>
        <v>0</v>
      </c>
      <c r="BH23" s="23">
        <f>F23*AO23</f>
        <v>0</v>
      </c>
      <c r="BI23" s="23">
        <f>F23*G23</f>
        <v>0</v>
      </c>
      <c r="BJ23" s="23" t="s">
        <v>118</v>
      </c>
      <c r="BK23" s="33" t="s">
        <v>22</v>
      </c>
    </row>
    <row r="24" spans="1:63" ht="25.65" customHeight="1" x14ac:dyDescent="0.25">
      <c r="A24" s="5"/>
      <c r="C24" s="16" t="s">
        <v>18</v>
      </c>
      <c r="D24" s="184" t="s">
        <v>50</v>
      </c>
      <c r="E24" s="185"/>
      <c r="F24" s="185"/>
      <c r="G24" s="185"/>
      <c r="H24" s="185"/>
      <c r="I24" s="185"/>
      <c r="J24" s="185"/>
      <c r="K24" s="185"/>
      <c r="L24" s="186"/>
      <c r="M24" s="72"/>
    </row>
    <row r="25" spans="1:63" x14ac:dyDescent="0.25">
      <c r="A25" s="87" t="s">
        <v>13</v>
      </c>
      <c r="B25" s="13"/>
      <c r="C25" s="13" t="s">
        <v>23</v>
      </c>
      <c r="D25" s="13" t="s">
        <v>51</v>
      </c>
      <c r="E25" s="13" t="s">
        <v>72</v>
      </c>
      <c r="F25" s="23">
        <v>1</v>
      </c>
      <c r="G25" s="160"/>
      <c r="H25" s="23">
        <f>F25*AN25</f>
        <v>0</v>
      </c>
      <c r="I25" s="23">
        <f>F25*AO25</f>
        <v>0</v>
      </c>
      <c r="J25" s="23">
        <f>F25*G25</f>
        <v>0</v>
      </c>
      <c r="K25" s="23">
        <v>0</v>
      </c>
      <c r="L25" s="95">
        <f>F25*K25</f>
        <v>0</v>
      </c>
      <c r="M25" s="72"/>
      <c r="Y25" s="33">
        <f>IF(AP25="5",BI25,0)</f>
        <v>0</v>
      </c>
      <c r="AA25" s="33">
        <f>IF(AP25="1",BG25,0)</f>
        <v>0</v>
      </c>
      <c r="AB25" s="33">
        <f>IF(AP25="1",BH25,0)</f>
        <v>0</v>
      </c>
      <c r="AC25" s="33">
        <f>IF(AP25="7",BG25,0)</f>
        <v>0</v>
      </c>
      <c r="AD25" s="33">
        <f>IF(AP25="7",BH25,0)</f>
        <v>0</v>
      </c>
      <c r="AE25" s="33">
        <f>IF(AP25="2",BG25,0)</f>
        <v>0</v>
      </c>
      <c r="AF25" s="33">
        <f>IF(AP25="2",BH25,0)</f>
        <v>0</v>
      </c>
      <c r="AG25" s="33">
        <f>IF(AP25="0",BI25,0)</f>
        <v>0</v>
      </c>
      <c r="AH25" s="30"/>
      <c r="AI25" s="23">
        <f>IF(AM25=0,J25,0)</f>
        <v>0</v>
      </c>
      <c r="AJ25" s="23">
        <f>IF(AM25=15,J25,0)</f>
        <v>0</v>
      </c>
      <c r="AK25" s="23">
        <f>IF(AM25=21,J25,0)</f>
        <v>0</v>
      </c>
      <c r="AM25" s="33">
        <v>21</v>
      </c>
      <c r="AN25" s="33">
        <f>G25*0</f>
        <v>0</v>
      </c>
      <c r="AO25" s="33">
        <f>G25*(1-0)</f>
        <v>0</v>
      </c>
      <c r="AP25" s="34" t="s">
        <v>7</v>
      </c>
      <c r="AU25" s="33">
        <f>AV25+AW25</f>
        <v>0</v>
      </c>
      <c r="AV25" s="33">
        <f>F25*AN25</f>
        <v>0</v>
      </c>
      <c r="AW25" s="33">
        <f>F25*AO25</f>
        <v>0</v>
      </c>
      <c r="AX25" s="35" t="s">
        <v>102</v>
      </c>
      <c r="AY25" s="35" t="s">
        <v>109</v>
      </c>
      <c r="AZ25" s="30" t="s">
        <v>113</v>
      </c>
      <c r="BB25" s="33">
        <f>AV25+AW25</f>
        <v>0</v>
      </c>
      <c r="BC25" s="33">
        <f>G25/(100-BD25)*100</f>
        <v>0</v>
      </c>
      <c r="BD25" s="33">
        <v>0</v>
      </c>
      <c r="BE25" s="33">
        <f>L25</f>
        <v>0</v>
      </c>
      <c r="BG25" s="23">
        <f>F25*AN25</f>
        <v>0</v>
      </c>
      <c r="BH25" s="23">
        <f>F25*AO25</f>
        <v>0</v>
      </c>
      <c r="BI25" s="23">
        <f>F25*G25</f>
        <v>0</v>
      </c>
      <c r="BJ25" s="23" t="s">
        <v>118</v>
      </c>
      <c r="BK25" s="33" t="s">
        <v>22</v>
      </c>
    </row>
    <row r="26" spans="1:63" x14ac:dyDescent="0.25">
      <c r="A26" s="5"/>
      <c r="C26" s="16" t="s">
        <v>18</v>
      </c>
      <c r="D26" s="184" t="s">
        <v>52</v>
      </c>
      <c r="E26" s="185"/>
      <c r="F26" s="185"/>
      <c r="G26" s="185"/>
      <c r="H26" s="185"/>
      <c r="I26" s="185"/>
      <c r="J26" s="185"/>
      <c r="K26" s="185"/>
      <c r="L26" s="186"/>
      <c r="M26" s="72"/>
    </row>
    <row r="27" spans="1:63" x14ac:dyDescent="0.25">
      <c r="A27" s="6"/>
      <c r="B27" s="14"/>
      <c r="C27" s="14" t="s">
        <v>24</v>
      </c>
      <c r="D27" s="14" t="s">
        <v>53</v>
      </c>
      <c r="E27" s="22" t="s">
        <v>6</v>
      </c>
      <c r="F27" s="22" t="s">
        <v>6</v>
      </c>
      <c r="G27" s="22" t="s">
        <v>6</v>
      </c>
      <c r="H27" s="38">
        <f>SUM(H28:H28)</f>
        <v>0</v>
      </c>
      <c r="I27" s="38">
        <f>SUM(I28:I28)</f>
        <v>0</v>
      </c>
      <c r="J27" s="38">
        <f>SUM(J28:J28)</f>
        <v>0</v>
      </c>
      <c r="K27" s="30"/>
      <c r="L27" s="98">
        <f>SUM(L28:L28)</f>
        <v>0</v>
      </c>
      <c r="M27" s="72"/>
      <c r="AH27" s="30"/>
      <c r="AR27" s="38">
        <f>SUM(AI28:AI28)</f>
        <v>0</v>
      </c>
      <c r="AS27" s="38">
        <f>SUM(AJ28:AJ28)</f>
        <v>0</v>
      </c>
      <c r="AT27" s="38">
        <f>SUM(AK28:AK28)</f>
        <v>0</v>
      </c>
    </row>
    <row r="28" spans="1:63" x14ac:dyDescent="0.25">
      <c r="A28" s="88" t="s">
        <v>14</v>
      </c>
      <c r="B28" s="20"/>
      <c r="C28" s="20" t="s">
        <v>25</v>
      </c>
      <c r="D28" s="92" t="s">
        <v>54</v>
      </c>
      <c r="E28" s="92" t="s">
        <v>72</v>
      </c>
      <c r="F28" s="33">
        <v>1</v>
      </c>
      <c r="G28" s="162"/>
      <c r="H28" s="33">
        <f>F28*AN28</f>
        <v>0</v>
      </c>
      <c r="I28" s="33">
        <f>F28*AO28</f>
        <v>0</v>
      </c>
      <c r="J28" s="33">
        <f>F28*G28</f>
        <v>0</v>
      </c>
      <c r="K28" s="33">
        <v>0</v>
      </c>
      <c r="L28" s="54">
        <f>F28*K28</f>
        <v>0</v>
      </c>
      <c r="M28" s="72"/>
      <c r="Y28" s="33">
        <f>IF(AP28="5",BI28,0)</f>
        <v>0</v>
      </c>
      <c r="AA28" s="33">
        <f>IF(AP28="1",BG28,0)</f>
        <v>0</v>
      </c>
      <c r="AB28" s="33">
        <f>IF(AP28="1",BH28,0)</f>
        <v>0</v>
      </c>
      <c r="AC28" s="33">
        <f>IF(AP28="7",BG28,0)</f>
        <v>0</v>
      </c>
      <c r="AD28" s="33">
        <f>IF(AP28="7",BH28,0)</f>
        <v>0</v>
      </c>
      <c r="AE28" s="33">
        <f>IF(AP28="2",BG28,0)</f>
        <v>0</v>
      </c>
      <c r="AF28" s="33">
        <f>IF(AP28="2",BH28,0)</f>
        <v>0</v>
      </c>
      <c r="AG28" s="33">
        <f>IF(AP28="0",BI28,0)</f>
        <v>0</v>
      </c>
      <c r="AH28" s="30"/>
      <c r="AI28" s="23">
        <f>IF(AM28=0,J28,0)</f>
        <v>0</v>
      </c>
      <c r="AJ28" s="23">
        <f>IF(AM28=15,J28,0)</f>
        <v>0</v>
      </c>
      <c r="AK28" s="23">
        <f>IF(AM28=21,J28,0)</f>
        <v>0</v>
      </c>
      <c r="AM28" s="33">
        <v>21</v>
      </c>
      <c r="AN28" s="33">
        <f>G28*0</f>
        <v>0</v>
      </c>
      <c r="AO28" s="33">
        <f>G28*(1-0)</f>
        <v>0</v>
      </c>
      <c r="AP28" s="34" t="s">
        <v>7</v>
      </c>
      <c r="AU28" s="33">
        <f>AV28+AW28</f>
        <v>0</v>
      </c>
      <c r="AV28" s="33">
        <f>F28*AN28</f>
        <v>0</v>
      </c>
      <c r="AW28" s="33">
        <f>F28*AO28</f>
        <v>0</v>
      </c>
      <c r="AX28" s="35" t="s">
        <v>103</v>
      </c>
      <c r="AY28" s="35" t="s">
        <v>109</v>
      </c>
      <c r="AZ28" s="30" t="s">
        <v>113</v>
      </c>
      <c r="BB28" s="33">
        <f>AV28+AW28</f>
        <v>0</v>
      </c>
      <c r="BC28" s="33">
        <f>G28/(100-BD28)*100</f>
        <v>0</v>
      </c>
      <c r="BD28" s="33">
        <v>0</v>
      </c>
      <c r="BE28" s="33">
        <f>L28</f>
        <v>0</v>
      </c>
      <c r="BG28" s="23">
        <f>F28*AN28</f>
        <v>0</v>
      </c>
      <c r="BH28" s="23">
        <f>F28*AO28</f>
        <v>0</v>
      </c>
      <c r="BI28" s="23">
        <f>F28*G28</f>
        <v>0</v>
      </c>
      <c r="BJ28" s="23" t="s">
        <v>118</v>
      </c>
      <c r="BK28" s="33" t="s">
        <v>24</v>
      </c>
    </row>
    <row r="29" spans="1:63" x14ac:dyDescent="0.25">
      <c r="A29" s="5"/>
      <c r="C29" s="16" t="s">
        <v>18</v>
      </c>
      <c r="D29" s="184" t="s">
        <v>55</v>
      </c>
      <c r="E29" s="185"/>
      <c r="F29" s="185"/>
      <c r="G29" s="185"/>
      <c r="H29" s="185"/>
      <c r="I29" s="185"/>
      <c r="J29" s="185"/>
      <c r="K29" s="185"/>
      <c r="L29" s="186"/>
      <c r="M29" s="72"/>
    </row>
    <row r="30" spans="1:63" x14ac:dyDescent="0.25">
      <c r="A30" s="6"/>
      <c r="B30" s="14"/>
      <c r="C30" s="14" t="s">
        <v>17</v>
      </c>
      <c r="D30" s="14" t="s">
        <v>56</v>
      </c>
      <c r="E30" s="22" t="s">
        <v>6</v>
      </c>
      <c r="F30" s="22" t="s">
        <v>6</v>
      </c>
      <c r="G30" s="22" t="s">
        <v>6</v>
      </c>
      <c r="H30" s="38">
        <f>SUM(H31:H36)</f>
        <v>0</v>
      </c>
      <c r="I30" s="38">
        <f>SUM(I31:I36)</f>
        <v>0</v>
      </c>
      <c r="J30" s="38">
        <f>SUM(J31:J36)</f>
        <v>0</v>
      </c>
      <c r="K30" s="30"/>
      <c r="L30" s="38">
        <f>SUM(L31:L36)</f>
        <v>856.78499999999997</v>
      </c>
      <c r="M30" s="72"/>
      <c r="AH30" s="30"/>
      <c r="AR30" s="38">
        <f>SUM(AI31:AI31)</f>
        <v>0</v>
      </c>
      <c r="AS30" s="38">
        <f>SUM(AJ31:AJ31)</f>
        <v>0</v>
      </c>
      <c r="AT30" s="38">
        <f>SUM(AK31:AK31)</f>
        <v>0</v>
      </c>
    </row>
    <row r="31" spans="1:63" x14ac:dyDescent="0.25">
      <c r="A31" s="87" t="s">
        <v>15</v>
      </c>
      <c r="B31" s="13"/>
      <c r="C31" s="93" t="s">
        <v>175</v>
      </c>
      <c r="D31" s="93" t="s">
        <v>229</v>
      </c>
      <c r="E31" s="13" t="s">
        <v>73</v>
      </c>
      <c r="F31" s="83">
        <v>7438</v>
      </c>
      <c r="G31" s="160"/>
      <c r="H31" s="83">
        <f>F31*AN31</f>
        <v>0</v>
      </c>
      <c r="I31" s="83">
        <f>F31*AO31</f>
        <v>0</v>
      </c>
      <c r="J31" s="83">
        <f>F31*G31</f>
        <v>0</v>
      </c>
      <c r="K31" s="83">
        <v>0.11</v>
      </c>
      <c r="L31" s="95">
        <f>F31*K31</f>
        <v>818.18</v>
      </c>
      <c r="M31" s="72"/>
      <c r="Y31" s="33">
        <f>IF(AP31="5",BI31,0)</f>
        <v>0</v>
      </c>
      <c r="AA31" s="33">
        <f>IF(AP31="1",BG31,0)</f>
        <v>0</v>
      </c>
      <c r="AB31" s="33">
        <f>IF(AP31="1",BH31,0)</f>
        <v>0</v>
      </c>
      <c r="AC31" s="33">
        <f>IF(AP31="7",BG31,0)</f>
        <v>0</v>
      </c>
      <c r="AD31" s="33">
        <f>IF(AP31="7",BH31,0)</f>
        <v>0</v>
      </c>
      <c r="AE31" s="33">
        <f>IF(AP31="2",BG31,0)</f>
        <v>0</v>
      </c>
      <c r="AF31" s="33">
        <f>IF(AP31="2",BH31,0)</f>
        <v>0</v>
      </c>
      <c r="AG31" s="33">
        <f>IF(AP31="0",BI31,0)</f>
        <v>0</v>
      </c>
      <c r="AH31" s="30"/>
      <c r="AI31" s="23">
        <f>IF(AM31=0,J31,0)</f>
        <v>0</v>
      </c>
      <c r="AJ31" s="23">
        <f>IF(AM31=15,J31,0)</f>
        <v>0</v>
      </c>
      <c r="AK31" s="23">
        <f>IF(AM31=21,J31,0)</f>
        <v>0</v>
      </c>
      <c r="AM31" s="33">
        <v>21</v>
      </c>
      <c r="AN31" s="33">
        <f>G31*0</f>
        <v>0</v>
      </c>
      <c r="AO31" s="33">
        <f>G31*(1-0)</f>
        <v>0</v>
      </c>
      <c r="AP31" s="34" t="s">
        <v>7</v>
      </c>
      <c r="AU31" s="33">
        <f>AV31+AW31</f>
        <v>0</v>
      </c>
      <c r="AV31" s="33">
        <f>F31*AN31</f>
        <v>0</v>
      </c>
      <c r="AW31" s="33">
        <f>F31*AO31</f>
        <v>0</v>
      </c>
      <c r="AX31" s="35" t="s">
        <v>104</v>
      </c>
      <c r="AY31" s="35" t="s">
        <v>110</v>
      </c>
      <c r="AZ31" s="30" t="s">
        <v>113</v>
      </c>
      <c r="BB31" s="33">
        <f>AV31+AW31</f>
        <v>0</v>
      </c>
      <c r="BC31" s="33">
        <f>G31/(100-BD31)*100</f>
        <v>0</v>
      </c>
      <c r="BD31" s="33">
        <v>0</v>
      </c>
      <c r="BE31" s="33">
        <f>L31</f>
        <v>818.18</v>
      </c>
      <c r="BG31" s="23">
        <f>F31*AN31</f>
        <v>0</v>
      </c>
      <c r="BH31" s="23">
        <f>F31*AO31</f>
        <v>0</v>
      </c>
      <c r="BI31" s="23">
        <f>F31*G31</f>
        <v>0</v>
      </c>
      <c r="BJ31" s="23" t="s">
        <v>118</v>
      </c>
      <c r="BK31" s="33">
        <v>11</v>
      </c>
    </row>
    <row r="32" spans="1:63" x14ac:dyDescent="0.25">
      <c r="A32" s="5"/>
      <c r="C32" s="82" t="s">
        <v>18</v>
      </c>
      <c r="D32" s="1" t="s">
        <v>174</v>
      </c>
      <c r="E32" s="167"/>
      <c r="F32" s="167"/>
      <c r="G32" s="167"/>
      <c r="H32" s="167"/>
      <c r="I32" s="167"/>
      <c r="J32" s="167"/>
      <c r="K32" s="167"/>
      <c r="L32" s="168"/>
      <c r="M32" s="72"/>
    </row>
    <row r="33" spans="1:64" s="81" customFormat="1" x14ac:dyDescent="0.25">
      <c r="A33" s="5"/>
      <c r="C33" s="93" t="s">
        <v>175</v>
      </c>
      <c r="D33" s="93" t="s">
        <v>190</v>
      </c>
      <c r="E33" s="13" t="s">
        <v>73</v>
      </c>
      <c r="F33" s="83">
        <v>191</v>
      </c>
      <c r="G33" s="160"/>
      <c r="H33" s="83">
        <f>F33*AN33</f>
        <v>0</v>
      </c>
      <c r="I33" s="83">
        <f>J33</f>
        <v>0</v>
      </c>
      <c r="J33" s="83">
        <f>F33*G33</f>
        <v>0</v>
      </c>
      <c r="K33" s="83">
        <v>0.11</v>
      </c>
      <c r="L33" s="95">
        <f>F33*K33</f>
        <v>21.01</v>
      </c>
      <c r="M33" s="72"/>
    </row>
    <row r="34" spans="1:64" s="81" customFormat="1" x14ac:dyDescent="0.25">
      <c r="A34" s="5"/>
      <c r="C34" s="82" t="s">
        <v>18</v>
      </c>
      <c r="D34" s="1" t="s">
        <v>191</v>
      </c>
      <c r="E34" s="167"/>
      <c r="F34" s="167"/>
      <c r="G34" s="167"/>
      <c r="H34" s="167"/>
      <c r="I34" s="167"/>
      <c r="J34" s="167"/>
      <c r="K34" s="167"/>
      <c r="L34" s="168"/>
      <c r="M34" s="72"/>
    </row>
    <row r="35" spans="1:64" s="125" customFormat="1" x14ac:dyDescent="0.25">
      <c r="A35" s="4" t="s">
        <v>16</v>
      </c>
      <c r="B35" s="127"/>
      <c r="C35" s="127" t="s">
        <v>213</v>
      </c>
      <c r="D35" s="144" t="s">
        <v>214</v>
      </c>
      <c r="E35" s="127" t="s">
        <v>74</v>
      </c>
      <c r="F35" s="143">
        <v>56</v>
      </c>
      <c r="G35" s="163"/>
      <c r="H35" s="143">
        <v>0</v>
      </c>
      <c r="I35" s="143">
        <f>F35*G35</f>
        <v>0</v>
      </c>
      <c r="J35" s="143">
        <f>F35*G35</f>
        <v>0</v>
      </c>
      <c r="K35" s="143">
        <v>0.27</v>
      </c>
      <c r="L35" s="147">
        <f>F35*K35</f>
        <v>15.120000000000001</v>
      </c>
      <c r="M35" s="143"/>
      <c r="N35" s="145"/>
      <c r="O35" s="141"/>
      <c r="Z35" s="130">
        <f>IF(AQ35="5",BJ35,0)</f>
        <v>0</v>
      </c>
      <c r="AB35" s="130">
        <f>IF(AQ35="1",BH35,0)</f>
        <v>0</v>
      </c>
      <c r="AC35" s="130">
        <f>IF(AQ35="1",BI35,0)</f>
        <v>0</v>
      </c>
      <c r="AD35" s="130">
        <f>IF(AQ35="7",BH35,0)</f>
        <v>0</v>
      </c>
      <c r="AE35" s="130">
        <f>IF(AQ35="7",BI35,0)</f>
        <v>0</v>
      </c>
      <c r="AF35" s="130">
        <f>IF(AQ35="2",BH35,0)</f>
        <v>0</v>
      </c>
      <c r="AG35" s="130">
        <f>IF(AQ35="2",BI35,0)</f>
        <v>0</v>
      </c>
      <c r="AH35" s="130">
        <f>IF(AQ35="0",BJ35,0)</f>
        <v>0</v>
      </c>
      <c r="AI35" s="123" t="s">
        <v>210</v>
      </c>
      <c r="AJ35" s="143">
        <f>IF(AN35=0,K35,0)</f>
        <v>0</v>
      </c>
      <c r="AK35" s="143">
        <f>IF(AN35=15,K35,0)</f>
        <v>0</v>
      </c>
      <c r="AL35" s="143">
        <f>IF(AN35=21,K35,0)</f>
        <v>0.27</v>
      </c>
      <c r="AN35" s="130">
        <v>21</v>
      </c>
      <c r="AO35" s="130">
        <f>H35*0</f>
        <v>0</v>
      </c>
      <c r="AP35" s="130">
        <f>H35*(1-0)</f>
        <v>0</v>
      </c>
      <c r="AQ35" s="145" t="s">
        <v>7</v>
      </c>
      <c r="AV35" s="130">
        <f>AW35+AX35</f>
        <v>0</v>
      </c>
      <c r="AW35" s="130">
        <f>G35*AO35</f>
        <v>0</v>
      </c>
      <c r="AX35" s="130">
        <f>G35*AP35</f>
        <v>0</v>
      </c>
      <c r="AY35" s="132" t="s">
        <v>104</v>
      </c>
      <c r="AZ35" s="132" t="s">
        <v>211</v>
      </c>
      <c r="BA35" s="123" t="s">
        <v>212</v>
      </c>
      <c r="BC35" s="130">
        <f>AW35+AX35</f>
        <v>0</v>
      </c>
      <c r="BD35" s="130">
        <f>H35/(100-BE35)*100</f>
        <v>0</v>
      </c>
      <c r="BE35" s="130">
        <v>0</v>
      </c>
      <c r="BF35" s="130">
        <f>M35</f>
        <v>0</v>
      </c>
      <c r="BH35" s="143">
        <f>G35*AO35</f>
        <v>0</v>
      </c>
      <c r="BI35" s="143">
        <f>G35*AP35</f>
        <v>0</v>
      </c>
      <c r="BJ35" s="143">
        <f>G35*H35</f>
        <v>0</v>
      </c>
      <c r="BK35" s="143" t="s">
        <v>118</v>
      </c>
      <c r="BL35" s="130">
        <v>11</v>
      </c>
    </row>
    <row r="36" spans="1:64" s="81" customFormat="1" x14ac:dyDescent="0.25">
      <c r="A36" s="4" t="s">
        <v>17</v>
      </c>
      <c r="B36" s="13"/>
      <c r="C36" s="13" t="s">
        <v>209</v>
      </c>
      <c r="D36" s="113" t="s">
        <v>220</v>
      </c>
      <c r="E36" s="13" t="s">
        <v>73</v>
      </c>
      <c r="F36" s="83">
        <v>11</v>
      </c>
      <c r="G36" s="160"/>
      <c r="H36" s="83">
        <v>0</v>
      </c>
      <c r="I36" s="83">
        <f>F36*G36</f>
        <v>0</v>
      </c>
      <c r="J36" s="83">
        <f>F36*G36</f>
        <v>0</v>
      </c>
      <c r="K36" s="83">
        <v>0.22500000000000001</v>
      </c>
      <c r="L36" s="95">
        <f>F36*K36</f>
        <v>2.4750000000000001</v>
      </c>
      <c r="M36" s="157"/>
      <c r="N36" s="157"/>
      <c r="O36" s="72"/>
    </row>
    <row r="37" spans="1:64" s="81" customFormat="1" x14ac:dyDescent="0.25">
      <c r="A37" s="5"/>
      <c r="C37" s="82" t="s">
        <v>18</v>
      </c>
      <c r="D37" s="155" t="s">
        <v>236</v>
      </c>
      <c r="E37" s="157"/>
      <c r="F37" s="157"/>
      <c r="G37" s="157"/>
      <c r="H37" s="157"/>
      <c r="I37" s="157"/>
      <c r="J37" s="157"/>
      <c r="K37" s="157"/>
      <c r="L37" s="158"/>
      <c r="M37" s="157"/>
      <c r="N37" s="157"/>
      <c r="O37" s="72"/>
    </row>
    <row r="38" spans="1:64" s="81" customFormat="1" x14ac:dyDescent="0.25">
      <c r="A38" s="6"/>
      <c r="B38" s="14"/>
      <c r="C38" s="14" t="s">
        <v>27</v>
      </c>
      <c r="D38" s="90" t="s">
        <v>57</v>
      </c>
      <c r="E38" s="22" t="s">
        <v>6</v>
      </c>
      <c r="F38" s="22" t="s">
        <v>6</v>
      </c>
      <c r="G38" s="22" t="s">
        <v>6</v>
      </c>
      <c r="H38" s="38">
        <f>SUM(H39:H45)</f>
        <v>0</v>
      </c>
      <c r="I38" s="38">
        <f>SUM(I39:I45)</f>
        <v>0</v>
      </c>
      <c r="J38" s="38">
        <f>SUM(J39:J45)</f>
        <v>0</v>
      </c>
      <c r="K38" s="30"/>
      <c r="L38" s="38">
        <f>SUM(L39:L45)</f>
        <v>1006.2160699999999</v>
      </c>
      <c r="M38" s="72"/>
      <c r="N38" s="85"/>
      <c r="AH38" s="30"/>
      <c r="AR38" s="38">
        <f>SUM(AI39:AI57)</f>
        <v>0</v>
      </c>
      <c r="AS38" s="38">
        <f>SUM(AJ39:AJ57)</f>
        <v>0</v>
      </c>
      <c r="AT38" s="38">
        <f>SUM(AK39:AK57)</f>
        <v>0</v>
      </c>
    </row>
    <row r="39" spans="1:64" s="81" customFormat="1" x14ac:dyDescent="0.25">
      <c r="A39" s="4" t="s">
        <v>208</v>
      </c>
      <c r="B39" s="13"/>
      <c r="C39" s="13" t="s">
        <v>28</v>
      </c>
      <c r="D39" s="13" t="s">
        <v>58</v>
      </c>
      <c r="E39" s="13" t="s">
        <v>73</v>
      </c>
      <c r="F39" s="83">
        <v>7629</v>
      </c>
      <c r="G39" s="160"/>
      <c r="H39" s="83">
        <f>F39*AN39</f>
        <v>0</v>
      </c>
      <c r="I39" s="83">
        <f>F39*AO39</f>
        <v>0</v>
      </c>
      <c r="J39" s="83">
        <f>F39*G39</f>
        <v>0</v>
      </c>
      <c r="K39" s="83">
        <v>3.1E-4</v>
      </c>
      <c r="L39" s="95">
        <f>F39*K39</f>
        <v>2.3649900000000001</v>
      </c>
      <c r="M39" s="72"/>
      <c r="Y39" s="33">
        <f>IF(AP39="5",BI39,0)</f>
        <v>0</v>
      </c>
      <c r="AA39" s="33">
        <f>IF(AP39="1",BG39,0)</f>
        <v>0</v>
      </c>
      <c r="AB39" s="33">
        <f>IF(AP39="1",BH39,0)</f>
        <v>0</v>
      </c>
      <c r="AC39" s="33">
        <f>IF(AP39="7",BG39,0)</f>
        <v>0</v>
      </c>
      <c r="AD39" s="33">
        <f>IF(AP39="7",BH39,0)</f>
        <v>0</v>
      </c>
      <c r="AE39" s="33">
        <f>IF(AP39="2",BG39,0)</f>
        <v>0</v>
      </c>
      <c r="AF39" s="33">
        <f>IF(AP39="2",BH39,0)</f>
        <v>0</v>
      </c>
      <c r="AG39" s="33">
        <f>IF(AP39="0",BI39,0)</f>
        <v>0</v>
      </c>
      <c r="AH39" s="30"/>
      <c r="AI39" s="83">
        <f>IF(AM39=0,J39,0)</f>
        <v>0</v>
      </c>
      <c r="AJ39" s="83">
        <f>IF(AM39=15,J39,0)</f>
        <v>0</v>
      </c>
      <c r="AK39" s="83">
        <f>IF(AM39=21,J39,0)</f>
        <v>0</v>
      </c>
      <c r="AM39" s="33">
        <v>21</v>
      </c>
      <c r="AN39" s="33">
        <f>G39*0.861735602860608</f>
        <v>0</v>
      </c>
      <c r="AO39" s="33">
        <f>G39*(1-0.861735602860608)</f>
        <v>0</v>
      </c>
      <c r="AP39" s="34" t="s">
        <v>7</v>
      </c>
      <c r="AU39" s="33">
        <f>AV39+AW39</f>
        <v>0</v>
      </c>
      <c r="AV39" s="33">
        <f>F39*AN39</f>
        <v>0</v>
      </c>
      <c r="AW39" s="33">
        <f>F39*AO39</f>
        <v>0</v>
      </c>
      <c r="AX39" s="35" t="s">
        <v>105</v>
      </c>
      <c r="AY39" s="35" t="s">
        <v>111</v>
      </c>
      <c r="AZ39" s="30" t="s">
        <v>113</v>
      </c>
      <c r="BB39" s="33">
        <f>AV39+AW39</f>
        <v>0</v>
      </c>
      <c r="BC39" s="33">
        <f>G39/(100-BD39)*100</f>
        <v>0</v>
      </c>
      <c r="BD39" s="33">
        <v>0</v>
      </c>
      <c r="BE39" s="33">
        <f>L39</f>
        <v>2.3649900000000001</v>
      </c>
      <c r="BG39" s="83">
        <f>F39*AN39</f>
        <v>0</v>
      </c>
      <c r="BH39" s="83">
        <f>F39*AO39</f>
        <v>0</v>
      </c>
      <c r="BI39" s="83">
        <f>F39*G39</f>
        <v>0</v>
      </c>
      <c r="BJ39" s="83" t="s">
        <v>118</v>
      </c>
      <c r="BK39" s="33">
        <v>57</v>
      </c>
    </row>
    <row r="40" spans="1:64" x14ac:dyDescent="0.25">
      <c r="A40" s="5"/>
      <c r="C40" s="17" t="s">
        <v>26</v>
      </c>
      <c r="D40" s="1" t="s">
        <v>59</v>
      </c>
      <c r="E40" s="167"/>
      <c r="F40" s="167"/>
      <c r="G40" s="167"/>
      <c r="H40" s="167"/>
      <c r="I40" s="167"/>
      <c r="J40" s="167"/>
      <c r="K40" s="167"/>
      <c r="L40" s="168"/>
      <c r="M40" s="72"/>
    </row>
    <row r="41" spans="1:64" s="81" customFormat="1" x14ac:dyDescent="0.25">
      <c r="A41" s="5"/>
      <c r="C41" s="17"/>
      <c r="D41" s="92"/>
      <c r="E41" s="103"/>
      <c r="F41" s="103"/>
      <c r="G41" s="103"/>
      <c r="H41" s="103"/>
      <c r="I41" s="103"/>
      <c r="J41" s="103"/>
      <c r="K41" s="103"/>
      <c r="L41" s="99"/>
      <c r="M41" s="72"/>
    </row>
    <row r="42" spans="1:64" s="81" customFormat="1" x14ac:dyDescent="0.25">
      <c r="A42" s="4" t="s">
        <v>177</v>
      </c>
      <c r="B42" s="13"/>
      <c r="C42" s="13" t="s">
        <v>186</v>
      </c>
      <c r="D42" s="13" t="s">
        <v>222</v>
      </c>
      <c r="E42" s="13" t="s">
        <v>73</v>
      </c>
      <c r="F42" s="83">
        <v>191</v>
      </c>
      <c r="G42" s="160"/>
      <c r="H42" s="83">
        <f>F42*AN42</f>
        <v>0</v>
      </c>
      <c r="I42" s="83">
        <f>F42*AO42</f>
        <v>0</v>
      </c>
      <c r="J42" s="83">
        <f>F42*G42</f>
        <v>0</v>
      </c>
      <c r="K42" s="83">
        <v>0.17</v>
      </c>
      <c r="L42" s="95">
        <f>F42*K42</f>
        <v>32.47</v>
      </c>
      <c r="M42" s="72"/>
      <c r="Y42" s="33">
        <f>IF(AP42="5",BI42,0)</f>
        <v>0</v>
      </c>
      <c r="AA42" s="33">
        <f>IF(AP42="1",BG42,0)</f>
        <v>0</v>
      </c>
      <c r="AB42" s="33">
        <f>IF(AP42="1",BH42,0)</f>
        <v>0</v>
      </c>
      <c r="AC42" s="33">
        <f>IF(AP42="7",BG42,0)</f>
        <v>0</v>
      </c>
      <c r="AD42" s="33">
        <f>IF(AP42="7",BH42,0)</f>
        <v>0</v>
      </c>
      <c r="AE42" s="33">
        <f>IF(AP42="2",BG42,0)</f>
        <v>0</v>
      </c>
      <c r="AF42" s="33">
        <f>IF(AP42="2",BH42,0)</f>
        <v>0</v>
      </c>
      <c r="AG42" s="33">
        <f>IF(AP42="0",BI42,0)</f>
        <v>0</v>
      </c>
      <c r="AH42" s="30"/>
      <c r="AI42" s="83">
        <f>IF(AM42=0,J42,0)</f>
        <v>0</v>
      </c>
      <c r="AJ42" s="83">
        <f>IF(AM42=15,J42,0)</f>
        <v>0</v>
      </c>
      <c r="AK42" s="83">
        <f>IF(AM42=21,J42,0)</f>
        <v>0</v>
      </c>
      <c r="AM42" s="33">
        <v>21</v>
      </c>
      <c r="AN42" s="33">
        <f>G42*0.598633333333333</f>
        <v>0</v>
      </c>
      <c r="AO42" s="33">
        <f>G42*(1-0.598633333333333)</f>
        <v>0</v>
      </c>
      <c r="AP42" s="34" t="s">
        <v>7</v>
      </c>
      <c r="AU42" s="33">
        <f>AV42+AW42</f>
        <v>0</v>
      </c>
      <c r="AV42" s="33">
        <f>F42*AN42</f>
        <v>0</v>
      </c>
      <c r="AW42" s="33">
        <f>F42*AO42</f>
        <v>0</v>
      </c>
      <c r="AX42" s="35" t="s">
        <v>105</v>
      </c>
      <c r="AY42" s="35" t="s">
        <v>111</v>
      </c>
      <c r="AZ42" s="30" t="s">
        <v>113</v>
      </c>
      <c r="BB42" s="33">
        <f>AV42+AW42</f>
        <v>0</v>
      </c>
      <c r="BC42" s="33">
        <f>G42/(100-BD42)*100</f>
        <v>0</v>
      </c>
      <c r="BD42" s="33">
        <v>0</v>
      </c>
      <c r="BE42" s="33">
        <f>L42</f>
        <v>32.47</v>
      </c>
      <c r="BG42" s="83">
        <f>F42*AN42</f>
        <v>0</v>
      </c>
      <c r="BH42" s="83">
        <f>F42*AO42</f>
        <v>0</v>
      </c>
      <c r="BI42" s="83">
        <f>F42*G42</f>
        <v>0</v>
      </c>
      <c r="BJ42" s="83" t="s">
        <v>118</v>
      </c>
      <c r="BK42" s="33">
        <v>57</v>
      </c>
    </row>
    <row r="43" spans="1:64" s="81" customFormat="1" x14ac:dyDescent="0.25">
      <c r="A43" s="4" t="s">
        <v>177</v>
      </c>
      <c r="B43" s="13"/>
      <c r="C43" s="13" t="s">
        <v>228</v>
      </c>
      <c r="D43" s="13" t="s">
        <v>227</v>
      </c>
      <c r="E43" s="13" t="s">
        <v>73</v>
      </c>
      <c r="F43" s="83">
        <v>41</v>
      </c>
      <c r="G43" s="160"/>
      <c r="H43" s="83">
        <f>F43*AN43</f>
        <v>0</v>
      </c>
      <c r="I43" s="83">
        <f>F43*AO43</f>
        <v>0</v>
      </c>
      <c r="J43" s="83">
        <f>F43*G43</f>
        <v>0</v>
      </c>
      <c r="K43" s="83">
        <v>0.17</v>
      </c>
      <c r="L43" s="95">
        <f>F43*K43</f>
        <v>6.9700000000000006</v>
      </c>
      <c r="M43" s="72"/>
      <c r="Y43" s="33">
        <f>IF(AP43="5",BI43,0)</f>
        <v>0</v>
      </c>
      <c r="AA43" s="33">
        <f>IF(AP43="1",BG43,0)</f>
        <v>0</v>
      </c>
      <c r="AB43" s="33">
        <f>IF(AP43="1",BH43,0)</f>
        <v>0</v>
      </c>
      <c r="AC43" s="33">
        <f>IF(AP43="7",BG43,0)</f>
        <v>0</v>
      </c>
      <c r="AD43" s="33">
        <f>IF(AP43="7",BH43,0)</f>
        <v>0</v>
      </c>
      <c r="AE43" s="33">
        <f>IF(AP43="2",BG43,0)</f>
        <v>0</v>
      </c>
      <c r="AF43" s="33">
        <f>IF(AP43="2",BH43,0)</f>
        <v>0</v>
      </c>
      <c r="AG43" s="33">
        <f>IF(AP43="0",BI43,0)</f>
        <v>0</v>
      </c>
      <c r="AH43" s="30"/>
      <c r="AI43" s="83">
        <f>IF(AM43=0,J43,0)</f>
        <v>0</v>
      </c>
      <c r="AJ43" s="83">
        <f>IF(AM43=15,J43,0)</f>
        <v>0</v>
      </c>
      <c r="AK43" s="83">
        <f>IF(AM43=21,J43,0)</f>
        <v>0</v>
      </c>
      <c r="AM43" s="33">
        <v>21</v>
      </c>
      <c r="AN43" s="33">
        <f>G43*0.598633333333333</f>
        <v>0</v>
      </c>
      <c r="AO43" s="33">
        <f>G43*(1-0.598633333333333)</f>
        <v>0</v>
      </c>
      <c r="AP43" s="34" t="s">
        <v>7</v>
      </c>
      <c r="AU43" s="33">
        <f>AV43+AW43</f>
        <v>0</v>
      </c>
      <c r="AV43" s="33">
        <f>F43*AN43</f>
        <v>0</v>
      </c>
      <c r="AW43" s="33">
        <f>F43*AO43</f>
        <v>0</v>
      </c>
      <c r="AX43" s="35" t="s">
        <v>105</v>
      </c>
      <c r="AY43" s="35" t="s">
        <v>111</v>
      </c>
      <c r="AZ43" s="30" t="s">
        <v>113</v>
      </c>
      <c r="BB43" s="33">
        <f>AV43+AW43</f>
        <v>0</v>
      </c>
      <c r="BC43" s="33">
        <f>G43/(100-BD43)*100</f>
        <v>0</v>
      </c>
      <c r="BD43" s="33">
        <v>0</v>
      </c>
      <c r="BE43" s="33">
        <f>L43</f>
        <v>6.9700000000000006</v>
      </c>
      <c r="BG43" s="83">
        <f>F43*AN43</f>
        <v>0</v>
      </c>
      <c r="BH43" s="83">
        <f>F43*AO43</f>
        <v>0</v>
      </c>
      <c r="BI43" s="83">
        <f>F43*G43</f>
        <v>0</v>
      </c>
      <c r="BJ43" s="83" t="s">
        <v>118</v>
      </c>
      <c r="BK43" s="33">
        <v>57</v>
      </c>
    </row>
    <row r="44" spans="1:64" s="81" customFormat="1" ht="39.6" x14ac:dyDescent="0.25">
      <c r="A44" s="4" t="s">
        <v>192</v>
      </c>
      <c r="B44" s="13"/>
      <c r="C44" s="94" t="s">
        <v>221</v>
      </c>
      <c r="D44" s="159" t="s">
        <v>230</v>
      </c>
      <c r="E44" s="13" t="s">
        <v>73</v>
      </c>
      <c r="F44" s="83">
        <v>7367</v>
      </c>
      <c r="G44" s="160"/>
      <c r="H44" s="83">
        <f t="shared" ref="H44:H45" si="0">G44*F44*0.6</f>
        <v>0</v>
      </c>
      <c r="I44" s="83">
        <f t="shared" ref="I44:I45" si="1">G44*F44*0.4</f>
        <v>0</v>
      </c>
      <c r="J44" s="83">
        <f>F44*G44</f>
        <v>0</v>
      </c>
      <c r="K44" s="83">
        <v>0.12966</v>
      </c>
      <c r="L44" s="95">
        <f>F44*K44</f>
        <v>955.20521999999994</v>
      </c>
      <c r="M44" s="72"/>
      <c r="Y44" s="33"/>
      <c r="AA44" s="33"/>
      <c r="AB44" s="33"/>
      <c r="AC44" s="33"/>
      <c r="AD44" s="33"/>
      <c r="AE44" s="33"/>
      <c r="AF44" s="33"/>
      <c r="AG44" s="33"/>
      <c r="AH44" s="30"/>
      <c r="AI44" s="83"/>
      <c r="AJ44" s="83"/>
      <c r="AK44" s="83"/>
      <c r="AM44" s="33"/>
      <c r="AN44" s="33"/>
      <c r="AO44" s="33"/>
      <c r="AP44" s="34"/>
      <c r="AU44" s="33"/>
      <c r="AV44" s="33"/>
      <c r="AW44" s="33"/>
      <c r="AX44" s="35"/>
      <c r="AY44" s="35"/>
      <c r="AZ44" s="30"/>
      <c r="BB44" s="33"/>
      <c r="BC44" s="33"/>
      <c r="BD44" s="33"/>
      <c r="BE44" s="33"/>
      <c r="BG44" s="83"/>
      <c r="BH44" s="83"/>
      <c r="BI44" s="83"/>
      <c r="BJ44" s="83"/>
      <c r="BK44" s="33"/>
    </row>
    <row r="45" spans="1:64" s="81" customFormat="1" ht="39.6" x14ac:dyDescent="0.25">
      <c r="A45" s="4" t="s">
        <v>224</v>
      </c>
      <c r="B45" s="13"/>
      <c r="C45" s="94" t="s">
        <v>231</v>
      </c>
      <c r="D45" s="159" t="s">
        <v>232</v>
      </c>
      <c r="E45" s="13" t="s">
        <v>73</v>
      </c>
      <c r="F45" s="83">
        <v>71</v>
      </c>
      <c r="G45" s="160"/>
      <c r="H45" s="83">
        <f t="shared" si="0"/>
        <v>0</v>
      </c>
      <c r="I45" s="83">
        <f t="shared" si="1"/>
        <v>0</v>
      </c>
      <c r="J45" s="83">
        <f>F45*G45</f>
        <v>0</v>
      </c>
      <c r="K45" s="83">
        <v>0.12966</v>
      </c>
      <c r="L45" s="83">
        <f>F45*K45</f>
        <v>9.2058599999999995</v>
      </c>
      <c r="M45" s="72"/>
    </row>
    <row r="46" spans="1:64" s="81" customFormat="1" x14ac:dyDescent="0.25">
      <c r="A46" s="5"/>
      <c r="D46" s="19"/>
      <c r="E46" s="96"/>
      <c r="F46" s="24"/>
      <c r="G46" s="96"/>
      <c r="H46" s="96"/>
      <c r="I46" s="96"/>
      <c r="J46" s="96"/>
      <c r="K46" s="96"/>
      <c r="L46" s="97"/>
      <c r="M46" s="72"/>
    </row>
    <row r="47" spans="1:64" s="81" customFormat="1" x14ac:dyDescent="0.25">
      <c r="A47" s="5"/>
      <c r="C47" s="13"/>
      <c r="D47" s="113"/>
      <c r="E47" s="13"/>
      <c r="F47" s="83"/>
      <c r="G47" s="83"/>
      <c r="H47" s="83"/>
      <c r="I47" s="83"/>
      <c r="J47" s="83"/>
      <c r="K47" s="83"/>
      <c r="L47" s="95"/>
      <c r="M47" s="83"/>
      <c r="N47" s="96"/>
    </row>
    <row r="48" spans="1:64" s="125" customFormat="1" x14ac:dyDescent="0.25">
      <c r="A48" s="119"/>
      <c r="B48" s="120"/>
      <c r="C48" s="120" t="s">
        <v>29</v>
      </c>
      <c r="D48" s="197" t="s">
        <v>60</v>
      </c>
      <c r="E48" s="196"/>
      <c r="F48" s="121" t="s">
        <v>6</v>
      </c>
      <c r="G48" s="121" t="s">
        <v>6</v>
      </c>
      <c r="H48" s="150">
        <f>SUM(H49:H54)</f>
        <v>0</v>
      </c>
      <c r="I48" s="150">
        <f>SUM(I49:I54)</f>
        <v>0</v>
      </c>
      <c r="J48" s="150">
        <f>SUM(J49:J54)</f>
        <v>0</v>
      </c>
      <c r="K48" s="122">
        <f>SUM(K49:K54)</f>
        <v>0.18819999999999998</v>
      </c>
      <c r="L48" s="150">
        <f>SUM(L49:L54)</f>
        <v>10.898000000000001</v>
      </c>
      <c r="M48" s="140"/>
      <c r="N48" s="142"/>
      <c r="O48" s="141"/>
      <c r="AI48" s="123" t="s">
        <v>195</v>
      </c>
      <c r="AS48" s="122">
        <f>SUM(AJ49:AJ49)</f>
        <v>0</v>
      </c>
      <c r="AT48" s="122">
        <f>SUM(AK49:AK49)</f>
        <v>0</v>
      </c>
      <c r="AU48" s="122">
        <f>SUM(AL49:AL49)</f>
        <v>0.188</v>
      </c>
    </row>
    <row r="49" spans="1:64" s="125" customFormat="1" x14ac:dyDescent="0.25">
      <c r="A49" s="4" t="s">
        <v>187</v>
      </c>
      <c r="B49" s="127"/>
      <c r="C49" s="127" t="s">
        <v>206</v>
      </c>
      <c r="D49" s="144" t="s">
        <v>207</v>
      </c>
      <c r="E49" s="127" t="s">
        <v>74</v>
      </c>
      <c r="F49" s="143">
        <v>56</v>
      </c>
      <c r="G49" s="163"/>
      <c r="H49" s="143">
        <f>F49*G49*0.45</f>
        <v>0</v>
      </c>
      <c r="I49" s="143">
        <f>F49*G49*0.55</f>
        <v>0</v>
      </c>
      <c r="J49" s="143">
        <f>F49*G49</f>
        <v>0</v>
      </c>
      <c r="K49" s="143">
        <v>0.188</v>
      </c>
      <c r="L49" s="147">
        <f>F49*K49</f>
        <v>10.528</v>
      </c>
      <c r="M49" s="143"/>
      <c r="N49" s="145"/>
      <c r="O49" s="141"/>
      <c r="Z49" s="130">
        <f>IF(AQ49="5",BJ49,0)</f>
        <v>0</v>
      </c>
      <c r="AB49" s="130">
        <f>IF(AQ49="1",BH49,0)</f>
        <v>0</v>
      </c>
      <c r="AC49" s="130">
        <f>IF(AQ49="1",BI49,0)</f>
        <v>0</v>
      </c>
      <c r="AD49" s="130">
        <f>IF(AQ49="7",BH49,0)</f>
        <v>0</v>
      </c>
      <c r="AE49" s="130">
        <f>IF(AQ49="7",BI49,0)</f>
        <v>0</v>
      </c>
      <c r="AF49" s="130">
        <f>IF(AQ49="2",BH49,0)</f>
        <v>0</v>
      </c>
      <c r="AG49" s="130">
        <f>IF(AQ49="2",BI49,0)</f>
        <v>0</v>
      </c>
      <c r="AH49" s="130">
        <f>IF(AQ49="0",BJ49,0)</f>
        <v>0</v>
      </c>
      <c r="AI49" s="123" t="s">
        <v>195</v>
      </c>
      <c r="AJ49" s="143">
        <f>IF(AN49=0,K49,0)</f>
        <v>0</v>
      </c>
      <c r="AK49" s="143">
        <f>IF(AN49=15,K49,0)</f>
        <v>0</v>
      </c>
      <c r="AL49" s="143">
        <f>IF(AN49=21,K49,0)</f>
        <v>0.188</v>
      </c>
      <c r="AN49" s="130">
        <v>21</v>
      </c>
      <c r="AO49" s="130">
        <f>H49*0.559380097879282</f>
        <v>0</v>
      </c>
      <c r="AP49" s="130">
        <f>H49*(1-0.559380097879282)</f>
        <v>0</v>
      </c>
      <c r="AQ49" s="145" t="s">
        <v>7</v>
      </c>
      <c r="AV49" s="130">
        <f>AW49+AX49</f>
        <v>0</v>
      </c>
      <c r="AW49" s="130">
        <f>G49*AO49</f>
        <v>0</v>
      </c>
      <c r="AX49" s="130">
        <f>G49*AP49</f>
        <v>0</v>
      </c>
      <c r="AY49" s="132" t="s">
        <v>106</v>
      </c>
      <c r="AZ49" s="132" t="s">
        <v>205</v>
      </c>
      <c r="BA49" s="123" t="s">
        <v>199</v>
      </c>
      <c r="BC49" s="130">
        <f>AW49+AX49</f>
        <v>0</v>
      </c>
      <c r="BD49" s="130">
        <f>H49/(100-BE49)*100</f>
        <v>0</v>
      </c>
      <c r="BE49" s="130">
        <v>0</v>
      </c>
      <c r="BF49" s="130">
        <f>M49</f>
        <v>0</v>
      </c>
      <c r="BH49" s="143">
        <f>G49*AO49</f>
        <v>0</v>
      </c>
      <c r="BI49" s="143">
        <f>G49*AP49</f>
        <v>0</v>
      </c>
      <c r="BJ49" s="143">
        <f>G49*H49</f>
        <v>0</v>
      </c>
      <c r="BK49" s="143" t="s">
        <v>118</v>
      </c>
      <c r="BL49" s="130">
        <v>91</v>
      </c>
    </row>
    <row r="50" spans="1:64" s="125" customFormat="1" x14ac:dyDescent="0.25">
      <c r="A50" s="4"/>
      <c r="B50" s="127"/>
      <c r="C50" s="82" t="s">
        <v>26</v>
      </c>
      <c r="D50" s="229" t="s">
        <v>238</v>
      </c>
      <c r="E50" s="127"/>
      <c r="F50" s="143"/>
      <c r="G50" s="163"/>
      <c r="H50" s="143"/>
      <c r="I50" s="143"/>
      <c r="J50" s="143"/>
      <c r="K50" s="143"/>
      <c r="L50" s="147"/>
      <c r="M50" s="143"/>
      <c r="N50" s="145"/>
      <c r="O50" s="141"/>
      <c r="Z50" s="130"/>
      <c r="AB50" s="130"/>
      <c r="AC50" s="130"/>
      <c r="AD50" s="130"/>
      <c r="AE50" s="130"/>
      <c r="AF50" s="130"/>
      <c r="AG50" s="130"/>
      <c r="AH50" s="130"/>
      <c r="AI50" s="123"/>
      <c r="AJ50" s="143"/>
      <c r="AK50" s="143"/>
      <c r="AL50" s="143"/>
      <c r="AN50" s="130"/>
      <c r="AO50" s="130"/>
      <c r="AP50" s="130"/>
      <c r="AQ50" s="145"/>
      <c r="AV50" s="130"/>
      <c r="AW50" s="130"/>
      <c r="AX50" s="130"/>
      <c r="AY50" s="132"/>
      <c r="AZ50" s="132"/>
      <c r="BA50" s="123"/>
      <c r="BC50" s="130"/>
      <c r="BD50" s="130"/>
      <c r="BE50" s="130"/>
      <c r="BF50" s="130"/>
      <c r="BH50" s="143"/>
      <c r="BI50" s="143"/>
      <c r="BJ50" s="143"/>
      <c r="BK50" s="143"/>
      <c r="BL50" s="130"/>
    </row>
    <row r="51" spans="1:64" s="81" customFormat="1" ht="13.8" customHeight="1" x14ac:dyDescent="0.25">
      <c r="A51" s="4" t="s">
        <v>188</v>
      </c>
      <c r="B51" s="13"/>
      <c r="C51" s="13" t="s">
        <v>30</v>
      </c>
      <c r="D51" s="13" t="s">
        <v>61</v>
      </c>
      <c r="E51" s="13" t="s">
        <v>74</v>
      </c>
      <c r="F51" s="83">
        <v>700</v>
      </c>
      <c r="G51" s="160"/>
      <c r="H51" s="83">
        <f>F51*AN51</f>
        <v>0</v>
      </c>
      <c r="I51" s="83">
        <f>F51*AO51</f>
        <v>0</v>
      </c>
      <c r="J51" s="83">
        <f>F51*G51</f>
        <v>0</v>
      </c>
      <c r="K51" s="83">
        <v>1E-4</v>
      </c>
      <c r="L51" s="95">
        <f>F51*K51</f>
        <v>7.0000000000000007E-2</v>
      </c>
      <c r="M51" s="72"/>
      <c r="Y51" s="33">
        <f>IF(AP51="5",BI51,0)</f>
        <v>0</v>
      </c>
      <c r="AA51" s="33">
        <f>IF(AP51="1",BG51,0)</f>
        <v>0</v>
      </c>
      <c r="AB51" s="33">
        <f>IF(AP51="1",BH51,0)</f>
        <v>0</v>
      </c>
      <c r="AC51" s="33">
        <f>IF(AP51="7",BG51,0)</f>
        <v>0</v>
      </c>
      <c r="AD51" s="33">
        <f>IF(AP51="7",BH51,0)</f>
        <v>0</v>
      </c>
      <c r="AE51" s="33">
        <f>IF(AP51="2",BG51,0)</f>
        <v>0</v>
      </c>
      <c r="AF51" s="33">
        <f>IF(AP51="2",BH51,0)</f>
        <v>0</v>
      </c>
      <c r="AG51" s="33">
        <f>IF(AP51="0",BI51,0)</f>
        <v>0</v>
      </c>
      <c r="AH51" s="30"/>
      <c r="AI51" s="83">
        <f>IF(AM51=0,J51,0)</f>
        <v>0</v>
      </c>
      <c r="AJ51" s="83">
        <f>IF(AM51=15,J51,0)</f>
        <v>0</v>
      </c>
      <c r="AK51" s="83">
        <f>IF(AM51=21,J51,0)</f>
        <v>0</v>
      </c>
      <c r="AM51" s="33">
        <v>21</v>
      </c>
      <c r="AN51" s="33">
        <f>G51*0.0923427957855178</f>
        <v>0</v>
      </c>
      <c r="AO51" s="33">
        <f>G51*(1-0.0923427957855178)</f>
        <v>0</v>
      </c>
      <c r="AP51" s="34" t="s">
        <v>7</v>
      </c>
      <c r="AU51" s="33">
        <f>AV51+AW51</f>
        <v>0</v>
      </c>
      <c r="AV51" s="33">
        <f>F51*AN51</f>
        <v>0</v>
      </c>
      <c r="AW51" s="33">
        <f>F51*AO51</f>
        <v>0</v>
      </c>
      <c r="AX51" s="35" t="s">
        <v>106</v>
      </c>
      <c r="AY51" s="35" t="s">
        <v>112</v>
      </c>
      <c r="AZ51" s="30" t="s">
        <v>113</v>
      </c>
      <c r="BB51" s="33">
        <f>AV51+AW51</f>
        <v>0</v>
      </c>
      <c r="BC51" s="33">
        <f>G51/(100-BD51)*100</f>
        <v>0</v>
      </c>
      <c r="BD51" s="33">
        <v>0</v>
      </c>
      <c r="BE51" s="33">
        <f>L51</f>
        <v>7.0000000000000007E-2</v>
      </c>
      <c r="BG51" s="83">
        <f>F51*AN51</f>
        <v>0</v>
      </c>
      <c r="BH51" s="83">
        <f>F51*AO51</f>
        <v>0</v>
      </c>
      <c r="BI51" s="83">
        <f>F51*G51</f>
        <v>0</v>
      </c>
      <c r="BJ51" s="83" t="s">
        <v>118</v>
      </c>
      <c r="BK51" s="33">
        <v>91</v>
      </c>
    </row>
    <row r="52" spans="1:64" s="81" customFormat="1" x14ac:dyDescent="0.25">
      <c r="A52" s="5"/>
      <c r="C52" s="17" t="s">
        <v>26</v>
      </c>
      <c r="D52" s="1" t="s">
        <v>173</v>
      </c>
      <c r="E52" s="167"/>
      <c r="F52" s="167"/>
      <c r="G52" s="167"/>
      <c r="H52" s="167"/>
      <c r="I52" s="167"/>
      <c r="J52" s="167"/>
      <c r="K52" s="167"/>
      <c r="L52" s="168"/>
      <c r="M52" s="72"/>
    </row>
    <row r="53" spans="1:64" s="81" customFormat="1" x14ac:dyDescent="0.25">
      <c r="A53" s="5"/>
      <c r="C53" s="82" t="s">
        <v>18</v>
      </c>
      <c r="D53" s="184" t="s">
        <v>185</v>
      </c>
      <c r="E53" s="185"/>
      <c r="F53" s="185"/>
      <c r="G53" s="185"/>
      <c r="H53" s="185"/>
      <c r="I53" s="185"/>
      <c r="J53" s="185"/>
      <c r="K53" s="185"/>
      <c r="L53" s="186"/>
      <c r="M53" s="72"/>
    </row>
    <row r="54" spans="1:64" s="81" customFormat="1" ht="13.8" customHeight="1" x14ac:dyDescent="0.25">
      <c r="A54" s="4" t="s">
        <v>188</v>
      </c>
      <c r="B54" s="13"/>
      <c r="C54" s="13" t="s">
        <v>233</v>
      </c>
      <c r="D54" s="13" t="s">
        <v>234</v>
      </c>
      <c r="E54" s="13" t="s">
        <v>74</v>
      </c>
      <c r="F54" s="83">
        <v>21</v>
      </c>
      <c r="G54" s="160"/>
      <c r="H54" s="83">
        <f>F54*AN54</f>
        <v>0</v>
      </c>
      <c r="I54" s="83">
        <f>F54*AO54</f>
        <v>0</v>
      </c>
      <c r="J54" s="83">
        <f>F54*G54</f>
        <v>0</v>
      </c>
      <c r="K54" s="83">
        <v>1E-4</v>
      </c>
      <c r="L54" s="95">
        <v>0.3</v>
      </c>
      <c r="M54" s="72"/>
      <c r="Y54" s="33">
        <f>IF(AP54="5",BI54,0)</f>
        <v>0</v>
      </c>
      <c r="AA54" s="33">
        <f>IF(AP54="1",BG54,0)</f>
        <v>0</v>
      </c>
      <c r="AB54" s="33">
        <f>IF(AP54="1",BH54,0)</f>
        <v>0</v>
      </c>
      <c r="AC54" s="33">
        <f>IF(AP54="7",BG54,0)</f>
        <v>0</v>
      </c>
      <c r="AD54" s="33">
        <f>IF(AP54="7",BH54,0)</f>
        <v>0</v>
      </c>
      <c r="AE54" s="33">
        <f>IF(AP54="2",BG54,0)</f>
        <v>0</v>
      </c>
      <c r="AF54" s="33">
        <f>IF(AP54="2",BH54,0)</f>
        <v>0</v>
      </c>
      <c r="AG54" s="33">
        <f>IF(AP54="0",BI54,0)</f>
        <v>0</v>
      </c>
      <c r="AH54" s="30"/>
      <c r="AI54" s="83">
        <f>IF(AM54=0,J54,0)</f>
        <v>0</v>
      </c>
      <c r="AJ54" s="83">
        <f>IF(AM54=15,J54,0)</f>
        <v>0</v>
      </c>
      <c r="AK54" s="83">
        <f>IF(AM54=21,J54,0)</f>
        <v>0</v>
      </c>
      <c r="AM54" s="33">
        <v>21</v>
      </c>
      <c r="AN54" s="33">
        <f>G54*0.0923427957855178</f>
        <v>0</v>
      </c>
      <c r="AO54" s="33">
        <f>G54*(1-0.0923427957855178)</f>
        <v>0</v>
      </c>
      <c r="AP54" s="34" t="s">
        <v>7</v>
      </c>
      <c r="AU54" s="33">
        <f>AV54+AW54</f>
        <v>0</v>
      </c>
      <c r="AV54" s="33">
        <f>F54*AN54</f>
        <v>0</v>
      </c>
      <c r="AW54" s="33">
        <f>F54*AO54</f>
        <v>0</v>
      </c>
      <c r="AX54" s="35" t="s">
        <v>106</v>
      </c>
      <c r="AY54" s="35" t="s">
        <v>112</v>
      </c>
      <c r="AZ54" s="30" t="s">
        <v>113</v>
      </c>
      <c r="BB54" s="33">
        <f>AV54+AW54</f>
        <v>0</v>
      </c>
      <c r="BC54" s="33">
        <f>G54/(100-BD54)*100</f>
        <v>0</v>
      </c>
      <c r="BD54" s="33">
        <v>0</v>
      </c>
      <c r="BE54" s="33">
        <f>L54</f>
        <v>0.3</v>
      </c>
      <c r="BG54" s="83">
        <f>F54*AN54</f>
        <v>0</v>
      </c>
      <c r="BH54" s="83">
        <f>F54*AO54</f>
        <v>0</v>
      </c>
      <c r="BI54" s="83">
        <f>F54*G54</f>
        <v>0</v>
      </c>
      <c r="BJ54" s="83" t="s">
        <v>118</v>
      </c>
      <c r="BK54" s="33">
        <v>91</v>
      </c>
    </row>
    <row r="55" spans="1:64" s="81" customFormat="1" x14ac:dyDescent="0.25">
      <c r="A55" s="5"/>
      <c r="C55" s="17" t="s">
        <v>26</v>
      </c>
      <c r="D55" s="1" t="s">
        <v>173</v>
      </c>
      <c r="E55" s="167"/>
      <c r="F55" s="167"/>
      <c r="G55" s="167"/>
      <c r="H55" s="167"/>
      <c r="I55" s="167"/>
      <c r="J55" s="167"/>
      <c r="K55" s="167"/>
      <c r="L55" s="168"/>
      <c r="M55" s="72"/>
    </row>
    <row r="56" spans="1:64" s="81" customFormat="1" ht="13.8" thickBot="1" x14ac:dyDescent="0.3">
      <c r="A56" s="5"/>
      <c r="C56" s="82" t="s">
        <v>18</v>
      </c>
      <c r="D56" s="184" t="s">
        <v>237</v>
      </c>
      <c r="E56" s="185"/>
      <c r="F56" s="185"/>
      <c r="G56" s="185"/>
      <c r="H56" s="185"/>
      <c r="I56" s="185"/>
      <c r="J56" s="185"/>
      <c r="K56" s="185"/>
      <c r="L56" s="186"/>
      <c r="M56" s="72"/>
    </row>
    <row r="57" spans="1:64" s="81" customFormat="1" ht="13.2" customHeight="1" x14ac:dyDescent="0.25">
      <c r="A57" s="14"/>
      <c r="B57" s="14"/>
      <c r="C57" s="14" t="s">
        <v>178</v>
      </c>
      <c r="D57" s="14" t="s">
        <v>179</v>
      </c>
      <c r="E57" s="14" t="s">
        <v>6</v>
      </c>
      <c r="F57" s="14" t="s">
        <v>6</v>
      </c>
      <c r="G57" s="104" t="s">
        <v>6</v>
      </c>
      <c r="H57" s="38">
        <f>SUM(H58:H59)</f>
        <v>0</v>
      </c>
      <c r="I57" s="38">
        <f>SUM(I58:I59)</f>
        <v>0</v>
      </c>
      <c r="J57" s="38">
        <f>SUM(J58:J59)</f>
        <v>0</v>
      </c>
      <c r="K57" s="105"/>
      <c r="L57" s="98">
        <f>SUM(L58:L59)</f>
        <v>17.2376</v>
      </c>
      <c r="M57" s="13"/>
      <c r="N57" s="85"/>
      <c r="AH57" s="29"/>
      <c r="AR57" s="37">
        <v>0</v>
      </c>
      <c r="AS57" s="37">
        <v>0</v>
      </c>
      <c r="AT57" s="37">
        <v>10728</v>
      </c>
    </row>
    <row r="58" spans="1:64" s="109" customFormat="1" ht="26.4" x14ac:dyDescent="0.25">
      <c r="A58" s="106" t="s">
        <v>189</v>
      </c>
      <c r="B58" s="106"/>
      <c r="C58" s="106" t="s">
        <v>180</v>
      </c>
      <c r="D58" s="114" t="s">
        <v>193</v>
      </c>
      <c r="E58" s="106" t="s">
        <v>181</v>
      </c>
      <c r="F58" s="107" t="s">
        <v>217</v>
      </c>
      <c r="G58" s="164"/>
      <c r="H58" s="83">
        <f>F58*G58*0.35</f>
        <v>0</v>
      </c>
      <c r="I58" s="83">
        <f>F58*G58*0.65</f>
        <v>0</v>
      </c>
      <c r="J58" s="83">
        <f>F58*G58</f>
        <v>0</v>
      </c>
      <c r="K58" s="108">
        <v>0.43093999999999999</v>
      </c>
      <c r="L58" s="95">
        <f>F58*K58</f>
        <v>9.0497399999999999</v>
      </c>
      <c r="M58" s="106"/>
      <c r="Y58" s="110">
        <v>0</v>
      </c>
      <c r="AA58" s="110">
        <v>2992.9999999999991</v>
      </c>
      <c r="AB58" s="110">
        <v>6487</v>
      </c>
      <c r="AC58" s="110">
        <v>0</v>
      </c>
      <c r="AD58" s="110">
        <v>0</v>
      </c>
      <c r="AE58" s="110">
        <v>0</v>
      </c>
      <c r="AF58" s="110">
        <v>0</v>
      </c>
      <c r="AG58" s="110">
        <v>0</v>
      </c>
      <c r="AH58" s="107"/>
      <c r="AI58" s="111">
        <v>0</v>
      </c>
      <c r="AJ58" s="111">
        <v>0</v>
      </c>
      <c r="AK58" s="111">
        <v>9480</v>
      </c>
      <c r="AM58" s="110">
        <v>21</v>
      </c>
      <c r="AN58" s="110">
        <v>748.24999999999977</v>
      </c>
      <c r="AO58" s="110">
        <v>1621.75</v>
      </c>
      <c r="AP58" s="112" t="s">
        <v>7</v>
      </c>
      <c r="AU58" s="110">
        <v>9480</v>
      </c>
      <c r="AV58" s="110">
        <v>2992.9999999999991</v>
      </c>
      <c r="AW58" s="110">
        <v>6487</v>
      </c>
      <c r="AX58" s="107" t="s">
        <v>182</v>
      </c>
      <c r="AY58" s="107" t="s">
        <v>183</v>
      </c>
      <c r="AZ58" s="107" t="s">
        <v>113</v>
      </c>
      <c r="BB58" s="110">
        <v>9480</v>
      </c>
      <c r="BC58" s="110">
        <v>2370</v>
      </c>
      <c r="BD58" s="110">
        <v>0</v>
      </c>
      <c r="BE58" s="110">
        <v>1.72376</v>
      </c>
      <c r="BG58" s="111">
        <v>2992.9999999999991</v>
      </c>
      <c r="BH58" s="111">
        <v>6487</v>
      </c>
      <c r="BI58" s="111">
        <v>9480</v>
      </c>
      <c r="BJ58" s="111" t="s">
        <v>118</v>
      </c>
      <c r="BK58" s="110">
        <v>89</v>
      </c>
    </row>
    <row r="59" spans="1:64" s="109" customFormat="1" ht="26.4" x14ac:dyDescent="0.25">
      <c r="A59" s="106" t="s">
        <v>184</v>
      </c>
      <c r="B59" s="106"/>
      <c r="C59" s="106" t="s">
        <v>180</v>
      </c>
      <c r="D59" s="114" t="s">
        <v>194</v>
      </c>
      <c r="E59" s="106" t="s">
        <v>181</v>
      </c>
      <c r="F59" s="107" t="s">
        <v>184</v>
      </c>
      <c r="G59" s="164"/>
      <c r="H59" s="83">
        <f>F59*G59*0.35</f>
        <v>0</v>
      </c>
      <c r="I59" s="83">
        <f>F59*G59*0.65</f>
        <v>0</v>
      </c>
      <c r="J59" s="83">
        <f>F59*G59</f>
        <v>0</v>
      </c>
      <c r="K59" s="108">
        <v>0.43093999999999999</v>
      </c>
      <c r="L59" s="95">
        <f>F59*K59</f>
        <v>8.1878600000000006</v>
      </c>
      <c r="M59" s="106"/>
      <c r="Y59" s="110">
        <v>0</v>
      </c>
      <c r="AA59" s="110">
        <v>2992.9999999999991</v>
      </c>
      <c r="AB59" s="110">
        <v>6487</v>
      </c>
      <c r="AC59" s="110">
        <v>0</v>
      </c>
      <c r="AD59" s="110">
        <v>0</v>
      </c>
      <c r="AE59" s="110">
        <v>0</v>
      </c>
      <c r="AF59" s="110">
        <v>0</v>
      </c>
      <c r="AG59" s="110">
        <v>0</v>
      </c>
      <c r="AH59" s="107"/>
      <c r="AI59" s="111">
        <v>0</v>
      </c>
      <c r="AJ59" s="111">
        <v>0</v>
      </c>
      <c r="AK59" s="111">
        <v>9480</v>
      </c>
      <c r="AM59" s="110">
        <v>21</v>
      </c>
      <c r="AN59" s="110">
        <v>748.24999999999977</v>
      </c>
      <c r="AO59" s="110">
        <v>1621.75</v>
      </c>
      <c r="AP59" s="112" t="s">
        <v>7</v>
      </c>
      <c r="AU59" s="110">
        <v>9480</v>
      </c>
      <c r="AV59" s="110">
        <v>2992.9999999999991</v>
      </c>
      <c r="AW59" s="110">
        <v>6487</v>
      </c>
      <c r="AX59" s="107" t="s">
        <v>182</v>
      </c>
      <c r="AY59" s="107" t="s">
        <v>183</v>
      </c>
      <c r="AZ59" s="107" t="s">
        <v>113</v>
      </c>
      <c r="BB59" s="110">
        <v>9480</v>
      </c>
      <c r="BC59" s="110">
        <v>2370</v>
      </c>
      <c r="BD59" s="110">
        <v>0</v>
      </c>
      <c r="BE59" s="110">
        <v>1.72376</v>
      </c>
      <c r="BG59" s="111">
        <v>2992.9999999999991</v>
      </c>
      <c r="BH59" s="111">
        <v>6487</v>
      </c>
      <c r="BI59" s="111">
        <v>9480</v>
      </c>
      <c r="BJ59" s="111" t="s">
        <v>118</v>
      </c>
      <c r="BK59" s="110">
        <v>89</v>
      </c>
    </row>
    <row r="60" spans="1:64" x14ac:dyDescent="0.25">
      <c r="A60" s="5"/>
      <c r="C60" s="17"/>
      <c r="D60" s="79"/>
      <c r="E60" s="80"/>
      <c r="F60" s="80"/>
      <c r="G60" s="80"/>
      <c r="H60" s="80"/>
      <c r="I60" s="80"/>
      <c r="J60" s="80"/>
      <c r="K60" s="80"/>
      <c r="L60" s="99"/>
      <c r="M60" s="72"/>
    </row>
    <row r="61" spans="1:64" s="81" customFormat="1" x14ac:dyDescent="0.25">
      <c r="A61" s="5"/>
      <c r="C61" s="82"/>
      <c r="D61" s="115"/>
      <c r="E61" s="116"/>
      <c r="F61" s="116"/>
      <c r="G61" s="116"/>
      <c r="H61" s="116"/>
      <c r="I61" s="116"/>
      <c r="J61" s="116"/>
      <c r="K61" s="116"/>
      <c r="L61" s="117"/>
      <c r="M61" s="72"/>
    </row>
    <row r="62" spans="1:64" s="125" customFormat="1" x14ac:dyDescent="0.25">
      <c r="A62" s="119"/>
      <c r="B62" s="120"/>
      <c r="C62" s="120"/>
      <c r="D62" s="195" t="s">
        <v>132</v>
      </c>
      <c r="E62" s="196"/>
      <c r="F62" s="121" t="s">
        <v>6</v>
      </c>
      <c r="G62" s="121" t="s">
        <v>6</v>
      </c>
      <c r="H62" s="122">
        <f>SUM(H63:H65)</f>
        <v>0</v>
      </c>
      <c r="I62" s="122">
        <f>SUM(I63:I65)</f>
        <v>0</v>
      </c>
      <c r="J62" s="122">
        <f>SUM(J63:J65)</f>
        <v>0</v>
      </c>
      <c r="K62" s="122"/>
      <c r="L62" s="150">
        <f>SUM(L63:L65)</f>
        <v>4.5903200000000002</v>
      </c>
      <c r="M62" s="140"/>
      <c r="N62" s="142"/>
      <c r="O62" s="141"/>
      <c r="AI62" s="123" t="s">
        <v>195</v>
      </c>
      <c r="AS62" s="122">
        <f>SUM(AJ63:AJ68)</f>
        <v>0</v>
      </c>
      <c r="AT62" s="122">
        <f>SUM(AK63:AK68)</f>
        <v>0</v>
      </c>
      <c r="AU62" s="122">
        <f>SUM(AL63:AL68)</f>
        <v>8.1970000000000001E-2</v>
      </c>
    </row>
    <row r="63" spans="1:64" s="125" customFormat="1" x14ac:dyDescent="0.25">
      <c r="A63" s="124"/>
      <c r="D63" s="133"/>
      <c r="F63" s="134"/>
      <c r="H63" s="129"/>
      <c r="L63" s="152"/>
      <c r="N63" s="141"/>
      <c r="O63" s="141"/>
    </row>
    <row r="64" spans="1:64" s="125" customFormat="1" x14ac:dyDescent="0.25">
      <c r="A64" s="126" t="s">
        <v>216</v>
      </c>
      <c r="B64" s="127"/>
      <c r="C64" s="128" t="s">
        <v>201</v>
      </c>
      <c r="D64" s="138" t="s">
        <v>202</v>
      </c>
      <c r="E64" s="128" t="s">
        <v>181</v>
      </c>
      <c r="F64" s="129">
        <v>56</v>
      </c>
      <c r="G64" s="165"/>
      <c r="H64" s="129">
        <f t="shared" ref="H64" si="2">F64*G64</f>
        <v>0</v>
      </c>
      <c r="I64" s="129">
        <v>0</v>
      </c>
      <c r="J64" s="129">
        <f>F64*G64</f>
        <v>0</v>
      </c>
      <c r="K64" s="129">
        <v>8.1970000000000001E-2</v>
      </c>
      <c r="L64" s="151">
        <f>F64*K64</f>
        <v>4.5903200000000002</v>
      </c>
      <c r="M64" s="129"/>
      <c r="N64" s="131"/>
      <c r="O64" s="141"/>
      <c r="Z64" s="130">
        <f>IF(AQ64="5",BJ64,0)</f>
        <v>0</v>
      </c>
      <c r="AB64" s="130">
        <f>IF(AQ64="1",BH64,0)</f>
        <v>0</v>
      </c>
      <c r="AC64" s="130">
        <f>IF(AQ64="1",BI64,0)</f>
        <v>0</v>
      </c>
      <c r="AD64" s="130">
        <f>IF(AQ64="7",BH64,0)</f>
        <v>0</v>
      </c>
      <c r="AE64" s="130">
        <f>IF(AQ64="7",BI64,0)</f>
        <v>0</v>
      </c>
      <c r="AF64" s="130">
        <f>IF(AQ64="2",BH64,0)</f>
        <v>0</v>
      </c>
      <c r="AG64" s="130">
        <f>IF(AQ64="2",BI64,0)</f>
        <v>0</v>
      </c>
      <c r="AH64" s="130">
        <f>IF(AQ64="0",BJ64,0)</f>
        <v>0</v>
      </c>
      <c r="AI64" s="123" t="s">
        <v>195</v>
      </c>
      <c r="AJ64" s="129">
        <f>IF(AN64=0,K64,0)</f>
        <v>0</v>
      </c>
      <c r="AK64" s="129">
        <f>IF(AN64=15,K64,0)</f>
        <v>0</v>
      </c>
      <c r="AL64" s="129">
        <f>IF(AN64=21,K64,0)</f>
        <v>8.1970000000000001E-2</v>
      </c>
      <c r="AN64" s="130">
        <v>21</v>
      </c>
      <c r="AO64" s="130">
        <f>H64*1</f>
        <v>0</v>
      </c>
      <c r="AP64" s="130">
        <f>H64*(1-1)</f>
        <v>0</v>
      </c>
      <c r="AQ64" s="131" t="s">
        <v>196</v>
      </c>
      <c r="AV64" s="130">
        <f>AW64+AX64</f>
        <v>0</v>
      </c>
      <c r="AW64" s="130">
        <f>G64*AO64</f>
        <v>0</v>
      </c>
      <c r="AX64" s="130">
        <f>G64*AP64</f>
        <v>0</v>
      </c>
      <c r="AY64" s="132" t="s">
        <v>197</v>
      </c>
      <c r="AZ64" s="132" t="s">
        <v>198</v>
      </c>
      <c r="BA64" s="123" t="s">
        <v>199</v>
      </c>
      <c r="BC64" s="130">
        <f>AW64+AX64</f>
        <v>0</v>
      </c>
      <c r="BD64" s="130">
        <f>H64/(100-BE64)*100</f>
        <v>0</v>
      </c>
      <c r="BE64" s="130">
        <v>0</v>
      </c>
      <c r="BF64" s="130">
        <f>M64</f>
        <v>0</v>
      </c>
      <c r="BH64" s="129">
        <f>G64*AO64</f>
        <v>0</v>
      </c>
      <c r="BI64" s="129">
        <f>G64*AP64</f>
        <v>0</v>
      </c>
      <c r="BJ64" s="129">
        <f>G64*H64</f>
        <v>0</v>
      </c>
      <c r="BK64" s="129" t="s">
        <v>200</v>
      </c>
      <c r="BL64" s="130"/>
    </row>
    <row r="65" spans="1:64" s="81" customFormat="1" x14ac:dyDescent="0.25">
      <c r="A65" s="126"/>
      <c r="B65" s="127"/>
      <c r="C65" s="135"/>
      <c r="D65" s="139"/>
      <c r="E65" s="135"/>
      <c r="F65" s="136"/>
      <c r="G65" s="136"/>
      <c r="H65" s="129"/>
      <c r="I65" s="136"/>
      <c r="J65" s="136"/>
      <c r="K65" s="136"/>
      <c r="L65" s="153"/>
      <c r="M65" s="136"/>
      <c r="N65" s="137"/>
      <c r="O65" s="72"/>
      <c r="Z65" s="33"/>
      <c r="AB65" s="33"/>
      <c r="AC65" s="33"/>
      <c r="AD65" s="33"/>
      <c r="AE65" s="33"/>
      <c r="AF65" s="33"/>
      <c r="AG65" s="33"/>
      <c r="AH65" s="33"/>
      <c r="AI65" s="30"/>
      <c r="AJ65" s="136"/>
      <c r="AK65" s="136"/>
      <c r="AL65" s="136"/>
      <c r="AN65" s="33"/>
      <c r="AO65" s="33"/>
      <c r="AP65" s="33"/>
      <c r="AQ65" s="137"/>
      <c r="AV65" s="33"/>
      <c r="AW65" s="33"/>
      <c r="AX65" s="33"/>
      <c r="AY65" s="35"/>
      <c r="AZ65" s="35"/>
      <c r="BA65" s="30"/>
      <c r="BC65" s="33"/>
      <c r="BD65" s="33"/>
      <c r="BE65" s="33"/>
      <c r="BF65" s="33"/>
      <c r="BH65" s="136"/>
      <c r="BI65" s="136"/>
      <c r="BJ65" s="136"/>
      <c r="BK65" s="136"/>
      <c r="BL65" s="33"/>
    </row>
    <row r="66" spans="1:64" s="81" customFormat="1" x14ac:dyDescent="0.25">
      <c r="A66" s="5"/>
      <c r="C66" s="82"/>
      <c r="D66" s="115"/>
      <c r="E66" s="116"/>
      <c r="F66" s="116"/>
      <c r="G66" s="116"/>
      <c r="H66" s="116"/>
      <c r="I66" s="116"/>
      <c r="J66" s="116"/>
      <c r="K66" s="116"/>
      <c r="L66" s="117"/>
      <c r="M66" s="72"/>
      <c r="N66" s="96"/>
    </row>
    <row r="67" spans="1:64" x14ac:dyDescent="0.25">
      <c r="A67" s="5"/>
      <c r="C67" s="16"/>
      <c r="D67" s="184"/>
      <c r="E67" s="185"/>
      <c r="F67" s="185"/>
      <c r="G67" s="185"/>
      <c r="H67" s="185"/>
      <c r="I67" s="185"/>
      <c r="J67" s="185"/>
      <c r="K67" s="185"/>
      <c r="L67" s="186"/>
      <c r="M67" s="72"/>
    </row>
    <row r="68" spans="1:64" x14ac:dyDescent="0.25">
      <c r="A68" s="6"/>
      <c r="B68" s="14"/>
      <c r="C68" s="14" t="s">
        <v>31</v>
      </c>
      <c r="D68" s="14" t="s">
        <v>62</v>
      </c>
      <c r="E68" s="22" t="s">
        <v>6</v>
      </c>
      <c r="F68" s="22" t="s">
        <v>6</v>
      </c>
      <c r="G68" s="22" t="s">
        <v>6</v>
      </c>
      <c r="H68" s="38">
        <f>SUM(H69:H69)</f>
        <v>0</v>
      </c>
      <c r="I68" s="38">
        <f>SUM(I69:I69)</f>
        <v>0</v>
      </c>
      <c r="J68" s="38">
        <f>SUM(J69:J69)</f>
        <v>0</v>
      </c>
      <c r="K68" s="30"/>
      <c r="L68" s="98">
        <f>SUM(L69:L69)</f>
        <v>0</v>
      </c>
      <c r="M68" s="72"/>
      <c r="AH68" s="30"/>
      <c r="AR68" s="38">
        <f>SUM(AI69:AI69)</f>
        <v>0</v>
      </c>
      <c r="AS68" s="38">
        <f>SUM(AJ69:AJ69)</f>
        <v>0</v>
      </c>
      <c r="AT68" s="38">
        <f>SUM(AK69:AK69)</f>
        <v>0</v>
      </c>
    </row>
    <row r="69" spans="1:64" x14ac:dyDescent="0.25">
      <c r="A69" s="73" t="s">
        <v>217</v>
      </c>
      <c r="B69" s="73"/>
      <c r="C69" s="73" t="s">
        <v>32</v>
      </c>
      <c r="D69" s="73" t="s">
        <v>63</v>
      </c>
      <c r="E69" s="73" t="s">
        <v>75</v>
      </c>
      <c r="F69" s="77">
        <f>L62+L57+L48+L38</f>
        <v>1038.94199</v>
      </c>
      <c r="G69" s="166"/>
      <c r="H69" s="77">
        <f>F69*AN69</f>
        <v>0</v>
      </c>
      <c r="I69" s="77">
        <f>F69*AO69</f>
        <v>0</v>
      </c>
      <c r="J69" s="77">
        <f>F69*G69</f>
        <v>0</v>
      </c>
      <c r="K69" s="77">
        <v>0</v>
      </c>
      <c r="L69" s="148">
        <f>F69*K69</f>
        <v>0</v>
      </c>
      <c r="M69" s="72"/>
      <c r="Y69" s="33">
        <f>IF(AP69="5",BI69,0)</f>
        <v>0</v>
      </c>
      <c r="AA69" s="33">
        <f>IF(AP69="1",BG69,0)</f>
        <v>0</v>
      </c>
      <c r="AB69" s="33">
        <f>IF(AP69="1",BH69,0)</f>
        <v>0</v>
      </c>
      <c r="AC69" s="33">
        <f>IF(AP69="7",BG69,0)</f>
        <v>0</v>
      </c>
      <c r="AD69" s="33">
        <f>IF(AP69="7",BH69,0)</f>
        <v>0</v>
      </c>
      <c r="AE69" s="33">
        <f>IF(AP69="2",BG69,0)</f>
        <v>0</v>
      </c>
      <c r="AF69" s="33">
        <f>IF(AP69="2",BH69,0)</f>
        <v>0</v>
      </c>
      <c r="AG69" s="33">
        <f>IF(AP69="0",BI69,0)</f>
        <v>0</v>
      </c>
      <c r="AH69" s="30"/>
      <c r="AI69" s="23">
        <f>IF(AM69=0,J69,0)</f>
        <v>0</v>
      </c>
      <c r="AJ69" s="23">
        <f>IF(AM69=15,J69,0)</f>
        <v>0</v>
      </c>
      <c r="AK69" s="23">
        <f>IF(AM69=21,J69,0)</f>
        <v>0</v>
      </c>
      <c r="AM69" s="33">
        <v>21</v>
      </c>
      <c r="AN69" s="33">
        <f>G69*0</f>
        <v>0</v>
      </c>
      <c r="AO69" s="33">
        <f>G69*(1-0)</f>
        <v>0</v>
      </c>
      <c r="AP69" s="34" t="s">
        <v>11</v>
      </c>
      <c r="AU69" s="33">
        <f>AV69+AW69</f>
        <v>0</v>
      </c>
      <c r="AV69" s="33">
        <f>F69*AN69</f>
        <v>0</v>
      </c>
      <c r="AW69" s="33">
        <f>F69*AO69</f>
        <v>0</v>
      </c>
      <c r="AX69" s="35" t="s">
        <v>107</v>
      </c>
      <c r="AY69" s="35" t="s">
        <v>112</v>
      </c>
      <c r="AZ69" s="30" t="s">
        <v>113</v>
      </c>
      <c r="BB69" s="33">
        <f>AV69+AW69</f>
        <v>0</v>
      </c>
      <c r="BC69" s="33">
        <f>G69/(100-BD69)*100</f>
        <v>0</v>
      </c>
      <c r="BD69" s="33">
        <v>0</v>
      </c>
      <c r="BE69" s="33">
        <f>L69</f>
        <v>0</v>
      </c>
      <c r="BG69" s="23">
        <f>F69*AN69</f>
        <v>0</v>
      </c>
      <c r="BH69" s="23">
        <f>F69*AO69</f>
        <v>0</v>
      </c>
      <c r="BI69" s="23">
        <f>F69*G69</f>
        <v>0</v>
      </c>
      <c r="BJ69" s="23" t="s">
        <v>118</v>
      </c>
      <c r="BK69" s="33" t="s">
        <v>31</v>
      </c>
    </row>
    <row r="70" spans="1:64" x14ac:dyDescent="0.25">
      <c r="A70" s="74"/>
      <c r="B70" s="75"/>
      <c r="C70" s="75"/>
      <c r="D70" s="76"/>
      <c r="E70" s="75"/>
      <c r="F70" s="78"/>
      <c r="G70" s="75"/>
      <c r="H70" s="75"/>
      <c r="I70" s="75"/>
      <c r="J70" s="75"/>
      <c r="K70" s="75"/>
      <c r="L70" s="149"/>
      <c r="M70" s="72"/>
    </row>
    <row r="71" spans="1:64" x14ac:dyDescent="0.25">
      <c r="A71" s="6"/>
      <c r="B71" s="14"/>
      <c r="C71" s="14" t="s">
        <v>33</v>
      </c>
      <c r="D71" s="14" t="s">
        <v>64</v>
      </c>
      <c r="E71" s="22" t="s">
        <v>6</v>
      </c>
      <c r="F71" s="22" t="s">
        <v>6</v>
      </c>
      <c r="G71" s="22" t="s">
        <v>6</v>
      </c>
      <c r="H71" s="38">
        <f>SUM(H72:H79)</f>
        <v>0</v>
      </c>
      <c r="I71" s="38">
        <f>SUM(I72:I79)</f>
        <v>0</v>
      </c>
      <c r="J71" s="38">
        <f>SUM(J72:J79)</f>
        <v>0</v>
      </c>
      <c r="K71" s="30"/>
      <c r="L71" s="98">
        <f>SUM(L72:L79)</f>
        <v>0</v>
      </c>
      <c r="M71" s="72"/>
      <c r="AH71" s="30"/>
      <c r="AR71" s="38">
        <f>SUM(AI72:AI79)</f>
        <v>0</v>
      </c>
      <c r="AS71" s="38">
        <f>SUM(AJ72:AJ79)</f>
        <v>0</v>
      </c>
      <c r="AT71" s="38">
        <f>SUM(AK72:AK79)</f>
        <v>0</v>
      </c>
    </row>
    <row r="72" spans="1:64" x14ac:dyDescent="0.25">
      <c r="A72" s="4" t="s">
        <v>225</v>
      </c>
      <c r="B72" s="13"/>
      <c r="C72" s="13" t="s">
        <v>34</v>
      </c>
      <c r="D72" s="13" t="s">
        <v>65</v>
      </c>
      <c r="E72" s="13" t="s">
        <v>75</v>
      </c>
      <c r="F72" s="23">
        <f>L30</f>
        <v>856.78499999999997</v>
      </c>
      <c r="G72" s="160"/>
      <c r="H72" s="23">
        <f>F72*AN72</f>
        <v>0</v>
      </c>
      <c r="I72" s="23">
        <f>F72*AO72</f>
        <v>0</v>
      </c>
      <c r="J72" s="23">
        <f>F72*G72</f>
        <v>0</v>
      </c>
      <c r="K72" s="23">
        <v>0</v>
      </c>
      <c r="L72" s="23">
        <f>F72*K72</f>
        <v>0</v>
      </c>
      <c r="M72" s="5"/>
      <c r="Y72" s="33">
        <f>IF(AP72="5",BI72,0)</f>
        <v>0</v>
      </c>
      <c r="AA72" s="33">
        <f>IF(AP72="1",BG72,0)</f>
        <v>0</v>
      </c>
      <c r="AB72" s="33">
        <f>IF(AP72="1",BH72,0)</f>
        <v>0</v>
      </c>
      <c r="AC72" s="33">
        <f>IF(AP72="7",BG72,0)</f>
        <v>0</v>
      </c>
      <c r="AD72" s="33">
        <f>IF(AP72="7",BH72,0)</f>
        <v>0</v>
      </c>
      <c r="AE72" s="33">
        <f>IF(AP72="2",BG72,0)</f>
        <v>0</v>
      </c>
      <c r="AF72" s="33">
        <f>IF(AP72="2",BH72,0)</f>
        <v>0</v>
      </c>
      <c r="AG72" s="33">
        <f>IF(AP72="0",BI72,0)</f>
        <v>0</v>
      </c>
      <c r="AH72" s="30"/>
      <c r="AI72" s="23">
        <f>IF(AM72=0,J72,0)</f>
        <v>0</v>
      </c>
      <c r="AJ72" s="23">
        <f>IF(AM72=15,J72,0)</f>
        <v>0</v>
      </c>
      <c r="AK72" s="23">
        <f>IF(AM72=21,J72,0)</f>
        <v>0</v>
      </c>
      <c r="AM72" s="33">
        <v>21</v>
      </c>
      <c r="AN72" s="33">
        <f>G72*0</f>
        <v>0</v>
      </c>
      <c r="AO72" s="33">
        <f>G72*(1-0)</f>
        <v>0</v>
      </c>
      <c r="AP72" s="34" t="s">
        <v>11</v>
      </c>
      <c r="AU72" s="33">
        <f>AV72+AW72</f>
        <v>0</v>
      </c>
      <c r="AV72" s="33">
        <f>F72*AN72</f>
        <v>0</v>
      </c>
      <c r="AW72" s="33">
        <f>F72*AO72</f>
        <v>0</v>
      </c>
      <c r="AX72" s="35" t="s">
        <v>108</v>
      </c>
      <c r="AY72" s="35" t="s">
        <v>112</v>
      </c>
      <c r="AZ72" s="30" t="s">
        <v>113</v>
      </c>
      <c r="BB72" s="33">
        <f>AV72+AW72</f>
        <v>0</v>
      </c>
      <c r="BC72" s="33">
        <f>G72/(100-BD72)*100</f>
        <v>0</v>
      </c>
      <c r="BD72" s="33">
        <v>0</v>
      </c>
      <c r="BE72" s="33">
        <f>L72</f>
        <v>0</v>
      </c>
      <c r="BG72" s="23">
        <f>F72*AN72</f>
        <v>0</v>
      </c>
      <c r="BH72" s="23">
        <f>F72*AO72</f>
        <v>0</v>
      </c>
      <c r="BI72" s="23">
        <f>F72*G72</f>
        <v>0</v>
      </c>
      <c r="BJ72" s="23" t="s">
        <v>118</v>
      </c>
      <c r="BK72" s="33" t="s">
        <v>33</v>
      </c>
    </row>
    <row r="73" spans="1:64" x14ac:dyDescent="0.25">
      <c r="A73" s="4" t="s">
        <v>218</v>
      </c>
      <c r="B73" s="13"/>
      <c r="C73" s="13" t="s">
        <v>35</v>
      </c>
      <c r="D73" s="13" t="s">
        <v>66</v>
      </c>
      <c r="E73" s="13" t="s">
        <v>75</v>
      </c>
      <c r="F73" s="23">
        <f>F72*10</f>
        <v>8567.85</v>
      </c>
      <c r="G73" s="160"/>
      <c r="H73" s="23">
        <f>F73*AN73</f>
        <v>0</v>
      </c>
      <c r="I73" s="23">
        <f>F73*AO73</f>
        <v>0</v>
      </c>
      <c r="J73" s="23">
        <f>F73*G73</f>
        <v>0</v>
      </c>
      <c r="K73" s="23">
        <v>0</v>
      </c>
      <c r="L73" s="23">
        <f>F73*K73</f>
        <v>0</v>
      </c>
      <c r="M73" s="5"/>
      <c r="Y73" s="33">
        <f>IF(AP73="5",BI73,0)</f>
        <v>0</v>
      </c>
      <c r="AA73" s="33">
        <f>IF(AP73="1",BG73,0)</f>
        <v>0</v>
      </c>
      <c r="AB73" s="33">
        <f>IF(AP73="1",BH73,0)</f>
        <v>0</v>
      </c>
      <c r="AC73" s="33">
        <f>IF(AP73="7",BG73,0)</f>
        <v>0</v>
      </c>
      <c r="AD73" s="33">
        <f>IF(AP73="7",BH73,0)</f>
        <v>0</v>
      </c>
      <c r="AE73" s="33">
        <f>IF(AP73="2",BG73,0)</f>
        <v>0</v>
      </c>
      <c r="AF73" s="33">
        <f>IF(AP73="2",BH73,0)</f>
        <v>0</v>
      </c>
      <c r="AG73" s="33">
        <f>IF(AP73="0",BI73,0)</f>
        <v>0</v>
      </c>
      <c r="AH73" s="30"/>
      <c r="AI73" s="23">
        <f>IF(AM73=0,J73,0)</f>
        <v>0</v>
      </c>
      <c r="AJ73" s="23">
        <f>IF(AM73=15,J73,0)</f>
        <v>0</v>
      </c>
      <c r="AK73" s="23">
        <f>IF(AM73=21,J73,0)</f>
        <v>0</v>
      </c>
      <c r="AM73" s="33">
        <v>21</v>
      </c>
      <c r="AN73" s="33">
        <f>G73*0</f>
        <v>0</v>
      </c>
      <c r="AO73" s="33">
        <f>G73*(1-0)</f>
        <v>0</v>
      </c>
      <c r="AP73" s="34" t="s">
        <v>11</v>
      </c>
      <c r="AU73" s="33">
        <f>AV73+AW73</f>
        <v>0</v>
      </c>
      <c r="AV73" s="33">
        <f>F73*AN73</f>
        <v>0</v>
      </c>
      <c r="AW73" s="33">
        <f>F73*AO73</f>
        <v>0</v>
      </c>
      <c r="AX73" s="35" t="s">
        <v>108</v>
      </c>
      <c r="AY73" s="35" t="s">
        <v>112</v>
      </c>
      <c r="AZ73" s="30" t="s">
        <v>113</v>
      </c>
      <c r="BB73" s="33">
        <f>AV73+AW73</f>
        <v>0</v>
      </c>
      <c r="BC73" s="33">
        <f>G73/(100-BD73)*100</f>
        <v>0</v>
      </c>
      <c r="BD73" s="33">
        <v>0</v>
      </c>
      <c r="BE73" s="33">
        <f>L73</f>
        <v>0</v>
      </c>
      <c r="BG73" s="23">
        <f>F73*AN73</f>
        <v>0</v>
      </c>
      <c r="BH73" s="23">
        <f>F73*AO73</f>
        <v>0</v>
      </c>
      <c r="BI73" s="23">
        <f>F73*G73</f>
        <v>0</v>
      </c>
      <c r="BJ73" s="23" t="s">
        <v>118</v>
      </c>
      <c r="BK73" s="33" t="s">
        <v>33</v>
      </c>
    </row>
    <row r="74" spans="1:64" s="81" customFormat="1" x14ac:dyDescent="0.25">
      <c r="A74" s="4"/>
      <c r="B74" s="13"/>
      <c r="C74" s="13"/>
      <c r="D74" s="19" t="s">
        <v>215</v>
      </c>
      <c r="F74" s="24"/>
      <c r="G74" s="83"/>
      <c r="H74" s="83"/>
      <c r="I74" s="83"/>
      <c r="J74" s="83"/>
      <c r="K74" s="83"/>
      <c r="L74" s="83"/>
      <c r="M74" s="5"/>
      <c r="Y74" s="33"/>
      <c r="AA74" s="33"/>
      <c r="AB74" s="33"/>
      <c r="AC74" s="33"/>
      <c r="AD74" s="33"/>
      <c r="AE74" s="33"/>
      <c r="AF74" s="33"/>
      <c r="AG74" s="33"/>
      <c r="AH74" s="30"/>
      <c r="AI74" s="83"/>
      <c r="AJ74" s="83"/>
      <c r="AK74" s="83"/>
      <c r="AM74" s="33"/>
      <c r="AN74" s="33"/>
      <c r="AO74" s="33"/>
      <c r="AP74" s="34"/>
      <c r="AU74" s="33"/>
      <c r="AV74" s="33"/>
      <c r="AW74" s="33"/>
      <c r="AX74" s="35"/>
      <c r="AY74" s="35"/>
      <c r="AZ74" s="30"/>
      <c r="BB74" s="33"/>
      <c r="BC74" s="33"/>
      <c r="BD74" s="33"/>
      <c r="BE74" s="33"/>
      <c r="BG74" s="83"/>
      <c r="BH74" s="83"/>
      <c r="BI74" s="83"/>
      <c r="BJ74" s="83"/>
      <c r="BK74" s="33"/>
    </row>
    <row r="75" spans="1:64" s="81" customFormat="1" x14ac:dyDescent="0.25">
      <c r="A75" s="4" t="s">
        <v>219</v>
      </c>
      <c r="B75" s="127"/>
      <c r="C75" s="127" t="s">
        <v>203</v>
      </c>
      <c r="D75" s="144" t="s">
        <v>204</v>
      </c>
      <c r="E75" s="127" t="s">
        <v>75</v>
      </c>
      <c r="F75" s="143">
        <v>30</v>
      </c>
      <c r="G75" s="163"/>
      <c r="H75" s="143">
        <f>F75*AN75</f>
        <v>0</v>
      </c>
      <c r="I75" s="143">
        <f>F75*G75</f>
        <v>0</v>
      </c>
      <c r="J75" s="143">
        <f>F75*G75</f>
        <v>0</v>
      </c>
      <c r="K75" s="143">
        <v>0</v>
      </c>
      <c r="L75" s="147">
        <f>F75*K75</f>
        <v>0</v>
      </c>
      <c r="M75" s="143"/>
      <c r="N75" s="145"/>
      <c r="O75" s="96"/>
      <c r="Y75" s="33"/>
      <c r="AA75" s="33"/>
      <c r="AB75" s="33"/>
      <c r="AC75" s="33"/>
      <c r="AD75" s="33"/>
      <c r="AE75" s="33"/>
      <c r="AF75" s="33"/>
      <c r="AG75" s="33"/>
      <c r="AH75" s="30"/>
      <c r="AI75" s="83"/>
      <c r="AJ75" s="83"/>
      <c r="AK75" s="83"/>
      <c r="AM75" s="33"/>
      <c r="AN75" s="33"/>
      <c r="AO75" s="33"/>
      <c r="AP75" s="34"/>
      <c r="AU75" s="33"/>
      <c r="AV75" s="33"/>
      <c r="AW75" s="33"/>
      <c r="AX75" s="35"/>
      <c r="AY75" s="35"/>
      <c r="AZ75" s="30"/>
      <c r="BB75" s="33"/>
      <c r="BC75" s="33"/>
      <c r="BD75" s="33"/>
      <c r="BE75" s="33"/>
      <c r="BG75" s="83"/>
      <c r="BH75" s="83"/>
      <c r="BI75" s="83"/>
      <c r="BJ75" s="83"/>
      <c r="BK75" s="33"/>
    </row>
    <row r="76" spans="1:64" s="81" customFormat="1" x14ac:dyDescent="0.25">
      <c r="A76" s="4"/>
      <c r="B76" s="13"/>
      <c r="C76" s="13"/>
      <c r="D76" s="156" t="s">
        <v>223</v>
      </c>
      <c r="E76" s="13"/>
      <c r="F76" s="83"/>
      <c r="G76" s="83"/>
      <c r="H76" s="83"/>
      <c r="I76" s="83"/>
      <c r="J76" s="83"/>
      <c r="K76" s="83"/>
      <c r="L76" s="95"/>
      <c r="M76" s="72"/>
      <c r="Y76" s="33"/>
      <c r="AA76" s="33"/>
      <c r="AB76" s="33"/>
      <c r="AC76" s="33"/>
      <c r="AD76" s="33"/>
      <c r="AE76" s="33"/>
      <c r="AF76" s="33"/>
      <c r="AG76" s="33"/>
      <c r="AH76" s="30"/>
      <c r="AI76" s="83"/>
      <c r="AJ76" s="83"/>
      <c r="AK76" s="83"/>
      <c r="AM76" s="33"/>
      <c r="AN76" s="33"/>
      <c r="AO76" s="33"/>
      <c r="AP76" s="34"/>
      <c r="AU76" s="33"/>
      <c r="AV76" s="33"/>
      <c r="AW76" s="33"/>
      <c r="AX76" s="35"/>
      <c r="AY76" s="35"/>
      <c r="AZ76" s="30"/>
      <c r="BB76" s="33"/>
      <c r="BC76" s="33"/>
      <c r="BD76" s="33"/>
      <c r="BE76" s="33"/>
      <c r="BG76" s="83"/>
      <c r="BH76" s="83"/>
      <c r="BI76" s="83"/>
      <c r="BJ76" s="83"/>
      <c r="BK76" s="33"/>
    </row>
    <row r="77" spans="1:64" s="81" customFormat="1" x14ac:dyDescent="0.25">
      <c r="A77" s="4"/>
      <c r="B77" s="13"/>
      <c r="C77" s="13"/>
      <c r="D77" s="13"/>
      <c r="E77" s="13"/>
      <c r="F77" s="83"/>
      <c r="G77" s="83"/>
      <c r="H77" s="83"/>
      <c r="I77" s="83"/>
      <c r="J77" s="83"/>
      <c r="K77" s="83"/>
      <c r="L77" s="83"/>
      <c r="M77" s="5"/>
      <c r="Y77" s="33"/>
      <c r="AA77" s="33"/>
      <c r="AB77" s="33"/>
      <c r="AC77" s="33"/>
      <c r="AD77" s="33"/>
      <c r="AE77" s="33"/>
      <c r="AF77" s="33"/>
      <c r="AG77" s="33"/>
      <c r="AH77" s="30"/>
      <c r="AI77" s="83"/>
      <c r="AJ77" s="83"/>
      <c r="AK77" s="83"/>
      <c r="AM77" s="33"/>
      <c r="AN77" s="33"/>
      <c r="AO77" s="33"/>
      <c r="AP77" s="34"/>
      <c r="AU77" s="33"/>
      <c r="AV77" s="33"/>
      <c r="AW77" s="33"/>
      <c r="AX77" s="35"/>
      <c r="AY77" s="35"/>
      <c r="AZ77" s="30"/>
      <c r="BB77" s="33"/>
      <c r="BC77" s="33"/>
      <c r="BD77" s="33"/>
      <c r="BE77" s="33"/>
      <c r="BG77" s="83"/>
      <c r="BH77" s="83"/>
      <c r="BI77" s="83"/>
      <c r="BJ77" s="83"/>
      <c r="BK77" s="33"/>
    </row>
    <row r="78" spans="1:64" s="81" customFormat="1" x14ac:dyDescent="0.25">
      <c r="A78" s="4"/>
      <c r="B78" s="13"/>
      <c r="C78" s="13"/>
      <c r="D78" s="13"/>
      <c r="E78" s="13"/>
      <c r="F78" s="83"/>
      <c r="G78" s="83"/>
      <c r="H78" s="83"/>
      <c r="I78" s="83"/>
      <c r="J78" s="83"/>
      <c r="K78" s="83"/>
      <c r="L78" s="83"/>
      <c r="M78" s="5"/>
      <c r="Y78" s="33"/>
      <c r="AA78" s="33"/>
      <c r="AB78" s="33"/>
      <c r="AC78" s="33"/>
      <c r="AD78" s="33"/>
      <c r="AE78" s="33"/>
      <c r="AF78" s="33"/>
      <c r="AG78" s="33"/>
      <c r="AH78" s="30"/>
      <c r="AI78" s="83"/>
      <c r="AJ78" s="83"/>
      <c r="AK78" s="83"/>
      <c r="AM78" s="33"/>
      <c r="AN78" s="33"/>
      <c r="AO78" s="33"/>
      <c r="AP78" s="34"/>
      <c r="AU78" s="33"/>
      <c r="AV78" s="33"/>
      <c r="AW78" s="33"/>
      <c r="AX78" s="35"/>
      <c r="AY78" s="35"/>
      <c r="AZ78" s="30"/>
      <c r="BB78" s="33"/>
      <c r="BC78" s="33"/>
      <c r="BD78" s="33"/>
      <c r="BE78" s="33"/>
      <c r="BG78" s="83"/>
      <c r="BH78" s="83"/>
      <c r="BI78" s="83"/>
      <c r="BJ78" s="83"/>
      <c r="BK78" s="33"/>
    </row>
    <row r="79" spans="1:64" x14ac:dyDescent="0.25">
      <c r="A79" s="5"/>
      <c r="D79" s="19"/>
      <c r="F79" s="24"/>
      <c r="M79" s="5"/>
    </row>
    <row r="80" spans="1:64" x14ac:dyDescent="0.25">
      <c r="A80" s="8"/>
      <c r="B80" s="8"/>
      <c r="C80" s="8"/>
      <c r="D80" s="8"/>
      <c r="E80" s="8"/>
      <c r="F80" s="8"/>
      <c r="G80" s="8"/>
      <c r="H80" s="193" t="s">
        <v>85</v>
      </c>
      <c r="I80" s="194"/>
      <c r="J80" s="39">
        <f>ROUND(J12+J27+J30+J38+J57+J68+J71+J62+J48,0)</f>
        <v>0</v>
      </c>
      <c r="K80" s="8"/>
      <c r="L80" s="8"/>
    </row>
    <row r="81" spans="1:12" ht="11.25" customHeight="1" x14ac:dyDescent="0.25">
      <c r="A81" s="9" t="s">
        <v>18</v>
      </c>
    </row>
    <row r="82" spans="1:12" x14ac:dyDescent="0.25">
      <c r="A82" s="179" t="s">
        <v>19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</row>
  </sheetData>
  <sheetProtection algorithmName="SHA-512" hashValue="EXU1WSNc/3he/qC6vYQrafsgC7EXQy7TzrAb8iI+3f/xGQpcKxumgkbrDC+lEC6MxYOWCYi0mjF9tDYLN6M7YA==" saltValue="o/IxwkIS+zv4AVCnT3ysOg==" spinCount="100000" sheet="1" objects="1" scenarios="1"/>
  <mergeCells count="47">
    <mergeCell ref="D40:L40"/>
    <mergeCell ref="D55:L55"/>
    <mergeCell ref="D56:L56"/>
    <mergeCell ref="H80:I80"/>
    <mergeCell ref="A82:L82"/>
    <mergeCell ref="D67:L67"/>
    <mergeCell ref="D62:E62"/>
    <mergeCell ref="D48:E48"/>
    <mergeCell ref="D52:L52"/>
    <mergeCell ref="D53:L53"/>
    <mergeCell ref="D22:L22"/>
    <mergeCell ref="D24:L24"/>
    <mergeCell ref="D26:L26"/>
    <mergeCell ref="D29:L29"/>
    <mergeCell ref="D32:L32"/>
    <mergeCell ref="A8:C9"/>
    <mergeCell ref="D8:D9"/>
    <mergeCell ref="E8:F9"/>
    <mergeCell ref="G8:G9"/>
    <mergeCell ref="H8:H9"/>
    <mergeCell ref="D6:D7"/>
    <mergeCell ref="E6:F7"/>
    <mergeCell ref="G6:G7"/>
    <mergeCell ref="H6:H7"/>
    <mergeCell ref="D20:L20"/>
    <mergeCell ref="I8:L9"/>
    <mergeCell ref="H10:J10"/>
    <mergeCell ref="K10:L10"/>
    <mergeCell ref="D14:L14"/>
    <mergeCell ref="D16:L16"/>
    <mergeCell ref="D18:L18"/>
    <mergeCell ref="D34:L34"/>
    <mergeCell ref="A1:L1"/>
    <mergeCell ref="A2:C3"/>
    <mergeCell ref="D2:D3"/>
    <mergeCell ref="E2:F3"/>
    <mergeCell ref="G2:G3"/>
    <mergeCell ref="H2:H3"/>
    <mergeCell ref="I2:L3"/>
    <mergeCell ref="I6:L7"/>
    <mergeCell ref="A4:C5"/>
    <mergeCell ref="D4:D5"/>
    <mergeCell ref="E4:F5"/>
    <mergeCell ref="G4:G5"/>
    <mergeCell ref="H4:H5"/>
    <mergeCell ref="I4:L5"/>
    <mergeCell ref="A6:C7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pane ySplit="10" topLeftCell="A11" activePane="bottomLeft" state="frozenSplit"/>
      <selection pane="bottomLeft" activeCell="F22" sqref="F22"/>
    </sheetView>
  </sheetViews>
  <sheetFormatPr defaultColWidth="11.5546875" defaultRowHeight="13.2" x14ac:dyDescent="0.25"/>
  <cols>
    <col min="1" max="2" width="16.5546875" customWidth="1"/>
    <col min="3" max="3" width="68.5546875" customWidth="1"/>
    <col min="4" max="4" width="22.109375" customWidth="1"/>
    <col min="5" max="5" width="21" customWidth="1"/>
    <col min="6" max="6" width="20.88671875" customWidth="1"/>
    <col min="7" max="7" width="19.6640625" customWidth="1"/>
    <col min="8" max="9" width="0" hidden="1" customWidth="1"/>
  </cols>
  <sheetData>
    <row r="1" spans="1:10" ht="72.900000000000006" customHeight="1" x14ac:dyDescent="0.25">
      <c r="A1" s="169" t="s">
        <v>120</v>
      </c>
      <c r="B1" s="170"/>
      <c r="C1" s="170"/>
      <c r="D1" s="170"/>
      <c r="E1" s="170"/>
      <c r="F1" s="170"/>
      <c r="G1" s="170"/>
    </row>
    <row r="2" spans="1:10" x14ac:dyDescent="0.25">
      <c r="A2" s="171" t="s">
        <v>1</v>
      </c>
      <c r="B2" s="198" t="str">
        <f>'Stavební rozpočet'!D2</f>
        <v>Oprava povrchu komunikace v Havlíčkova</v>
      </c>
      <c r="C2" s="194"/>
      <c r="D2" s="178" t="s">
        <v>79</v>
      </c>
      <c r="E2" s="178" t="str">
        <f>'Stavební rozpočet'!I2</f>
        <v>Statutární město Jihlava</v>
      </c>
      <c r="F2" s="172"/>
      <c r="G2" s="199"/>
      <c r="H2" s="5"/>
    </row>
    <row r="3" spans="1:10" x14ac:dyDescent="0.25">
      <c r="A3" s="173"/>
      <c r="B3" s="176"/>
      <c r="C3" s="176"/>
      <c r="D3" s="174"/>
      <c r="E3" s="174"/>
      <c r="F3" s="174"/>
      <c r="G3" s="183"/>
      <c r="H3" s="5"/>
    </row>
    <row r="4" spans="1:10" x14ac:dyDescent="0.25">
      <c r="A4" s="180" t="s">
        <v>2</v>
      </c>
      <c r="B4" s="179" t="str">
        <f>'Stavební rozpočet'!D4</f>
        <v xml:space="preserve"> </v>
      </c>
      <c r="C4" s="174"/>
      <c r="D4" s="179" t="s">
        <v>80</v>
      </c>
      <c r="E4" s="179" t="str">
        <f>'Stavební rozpočet'!I4</f>
        <v> </v>
      </c>
      <c r="F4" s="174"/>
      <c r="G4" s="183"/>
      <c r="H4" s="5"/>
    </row>
    <row r="5" spans="1:10" x14ac:dyDescent="0.25">
      <c r="A5" s="173"/>
      <c r="B5" s="174"/>
      <c r="C5" s="174"/>
      <c r="D5" s="174"/>
      <c r="E5" s="174"/>
      <c r="F5" s="174"/>
      <c r="G5" s="183"/>
      <c r="H5" s="5"/>
    </row>
    <row r="6" spans="1:10" x14ac:dyDescent="0.25">
      <c r="A6" s="180" t="s">
        <v>3</v>
      </c>
      <c r="B6" s="179" t="str">
        <f>'Stavební rozpočet'!D6</f>
        <v>Jihlava</v>
      </c>
      <c r="C6" s="174"/>
      <c r="D6" s="179" t="s">
        <v>81</v>
      </c>
      <c r="E6" s="179" t="str">
        <f>'Stavební rozpočet'!I6</f>
        <v>dle výběrového řízení</v>
      </c>
      <c r="F6" s="174"/>
      <c r="G6" s="183"/>
      <c r="H6" s="5"/>
    </row>
    <row r="7" spans="1:10" x14ac:dyDescent="0.25">
      <c r="A7" s="173"/>
      <c r="B7" s="174"/>
      <c r="C7" s="174"/>
      <c r="D7" s="174"/>
      <c r="E7" s="174"/>
      <c r="F7" s="174"/>
      <c r="G7" s="183"/>
      <c r="H7" s="5"/>
    </row>
    <row r="8" spans="1:10" x14ac:dyDescent="0.25">
      <c r="A8" s="180" t="s">
        <v>82</v>
      </c>
      <c r="B8" s="179" t="str">
        <f>'Stavební rozpočet'!I8</f>
        <v>Ing. Bc. Karel Trojan</v>
      </c>
      <c r="C8" s="174"/>
      <c r="D8" s="181" t="s">
        <v>70</v>
      </c>
      <c r="E8" s="179" t="str">
        <f>'Stavební rozpočet'!G8</f>
        <v>09.09.2024</v>
      </c>
      <c r="F8" s="174"/>
      <c r="G8" s="183"/>
      <c r="H8" s="5"/>
    </row>
    <row r="9" spans="1:10" ht="13.8" thickBot="1" x14ac:dyDescent="0.3">
      <c r="A9" s="192"/>
      <c r="B9" s="187"/>
      <c r="C9" s="187"/>
      <c r="D9" s="187"/>
      <c r="E9" s="187"/>
      <c r="F9" s="187"/>
      <c r="G9" s="200"/>
      <c r="H9" s="5"/>
    </row>
    <row r="10" spans="1:10" ht="13.8" thickBot="1" x14ac:dyDescent="0.3">
      <c r="A10" s="40" t="s">
        <v>20</v>
      </c>
      <c r="B10" s="44" t="s">
        <v>21</v>
      </c>
      <c r="C10" s="47" t="s">
        <v>121</v>
      </c>
      <c r="D10" s="48" t="s">
        <v>122</v>
      </c>
      <c r="E10" s="48" t="s">
        <v>123</v>
      </c>
      <c r="F10" s="48" t="s">
        <v>124</v>
      </c>
      <c r="G10" s="49" t="s">
        <v>125</v>
      </c>
      <c r="H10" s="32"/>
    </row>
    <row r="11" spans="1:10" x14ac:dyDescent="0.25">
      <c r="A11" s="41"/>
      <c r="B11" s="45" t="s">
        <v>22</v>
      </c>
      <c r="C11" s="45" t="s">
        <v>39</v>
      </c>
      <c r="D11" s="51">
        <f>'Stavební rozpočet'!H12</f>
        <v>0</v>
      </c>
      <c r="E11" s="51">
        <f>'Stavební rozpočet'!I12</f>
        <v>0</v>
      </c>
      <c r="F11" s="51">
        <f>'Stavební rozpočet'!J12</f>
        <v>0</v>
      </c>
      <c r="G11" s="53">
        <f>'Stavební rozpočet'!L12</f>
        <v>0</v>
      </c>
      <c r="H11" s="50" t="s">
        <v>126</v>
      </c>
      <c r="I11" s="33">
        <f t="shared" ref="I11:I19" si="0">IF(H11="F",0,F11)</f>
        <v>0</v>
      </c>
      <c r="J11" s="85">
        <f>D11+E11</f>
        <v>0</v>
      </c>
    </row>
    <row r="12" spans="1:10" x14ac:dyDescent="0.25">
      <c r="A12" s="42"/>
      <c r="B12" s="20" t="s">
        <v>24</v>
      </c>
      <c r="C12" s="20" t="s">
        <v>53</v>
      </c>
      <c r="D12" s="33">
        <f>'Stavební rozpočet'!H27</f>
        <v>0</v>
      </c>
      <c r="E12" s="33">
        <f>'Stavební rozpočet'!I27</f>
        <v>0</v>
      </c>
      <c r="F12" s="33">
        <f>'Stavební rozpočet'!J27</f>
        <v>0</v>
      </c>
      <c r="G12" s="54">
        <f>'Stavební rozpočet'!L27</f>
        <v>0</v>
      </c>
      <c r="H12" s="50" t="s">
        <v>126</v>
      </c>
      <c r="I12" s="33">
        <f t="shared" si="0"/>
        <v>0</v>
      </c>
      <c r="J12" s="85">
        <f t="shared" ref="J12:J13" si="1">D12+E12</f>
        <v>0</v>
      </c>
    </row>
    <row r="13" spans="1:10" x14ac:dyDescent="0.25">
      <c r="A13" s="42"/>
      <c r="B13" s="20" t="s">
        <v>17</v>
      </c>
      <c r="C13" s="20" t="s">
        <v>56</v>
      </c>
      <c r="D13" s="33">
        <f>'Stavební rozpočet'!H30</f>
        <v>0</v>
      </c>
      <c r="E13" s="33">
        <f>'Stavební rozpočet'!I30</f>
        <v>0</v>
      </c>
      <c r="F13" s="33">
        <f>'Stavební rozpočet'!J30</f>
        <v>0</v>
      </c>
      <c r="G13" s="54">
        <f>'Stavební rozpočet'!L30</f>
        <v>856.78499999999997</v>
      </c>
      <c r="H13" s="50" t="s">
        <v>126</v>
      </c>
      <c r="I13" s="33">
        <f t="shared" si="0"/>
        <v>0</v>
      </c>
      <c r="J13" s="85">
        <f t="shared" si="1"/>
        <v>0</v>
      </c>
    </row>
    <row r="14" spans="1:10" x14ac:dyDescent="0.25">
      <c r="A14" s="42"/>
      <c r="B14" s="20" t="s">
        <v>27</v>
      </c>
      <c r="C14" s="89" t="s">
        <v>57</v>
      </c>
      <c r="D14" s="33">
        <f>'Stavební rozpočet'!H38</f>
        <v>0</v>
      </c>
      <c r="E14" s="33">
        <f>'Stavební rozpočet'!I38</f>
        <v>0</v>
      </c>
      <c r="F14" s="33">
        <f>'Stavební rozpočet'!J38</f>
        <v>0</v>
      </c>
      <c r="G14" s="54">
        <f>'Stavební rozpočet'!L38</f>
        <v>1006.2160699999999</v>
      </c>
      <c r="H14" s="50" t="s">
        <v>126</v>
      </c>
      <c r="I14" s="33">
        <f t="shared" si="0"/>
        <v>0</v>
      </c>
      <c r="J14" s="85"/>
    </row>
    <row r="15" spans="1:10" s="81" customFormat="1" x14ac:dyDescent="0.25">
      <c r="A15" s="42"/>
      <c r="B15" s="92" t="s">
        <v>178</v>
      </c>
      <c r="C15" s="89" t="s">
        <v>179</v>
      </c>
      <c r="D15" s="33">
        <f>'Stavební rozpočet'!H57</f>
        <v>0</v>
      </c>
      <c r="E15" s="33">
        <f>'Stavební rozpočet'!I57</f>
        <v>0</v>
      </c>
      <c r="F15" s="33">
        <f>'Stavební rozpočet'!J57</f>
        <v>0</v>
      </c>
      <c r="G15" s="54">
        <f>'Stavební rozpočet'!L57</f>
        <v>17.2376</v>
      </c>
      <c r="H15" s="50"/>
      <c r="I15" s="33"/>
      <c r="J15" s="85"/>
    </row>
    <row r="16" spans="1:10" x14ac:dyDescent="0.25">
      <c r="A16" s="42"/>
      <c r="B16" s="20" t="s">
        <v>29</v>
      </c>
      <c r="C16" s="20" t="s">
        <v>60</v>
      </c>
      <c r="D16" s="33">
        <f>'Stavební rozpočet'!H48</f>
        <v>0</v>
      </c>
      <c r="E16" s="33">
        <f>'Stavební rozpočet'!I48</f>
        <v>0</v>
      </c>
      <c r="F16" s="33">
        <f>'Stavební rozpočet'!J48</f>
        <v>0</v>
      </c>
      <c r="G16" s="54">
        <f>'Stavební rozpočet'!L48</f>
        <v>10.898000000000001</v>
      </c>
      <c r="H16" s="50" t="s">
        <v>126</v>
      </c>
      <c r="I16" s="33">
        <f t="shared" si="0"/>
        <v>0</v>
      </c>
      <c r="J16" s="85"/>
    </row>
    <row r="17" spans="1:10" x14ac:dyDescent="0.25">
      <c r="A17" s="42"/>
      <c r="B17" s="20" t="s">
        <v>31</v>
      </c>
      <c r="C17" s="20" t="s">
        <v>62</v>
      </c>
      <c r="D17" s="33">
        <f>'Stavební rozpočet'!H68</f>
        <v>0</v>
      </c>
      <c r="E17" s="33">
        <f>'Stavební rozpočet'!I68</f>
        <v>0</v>
      </c>
      <c r="F17" s="33">
        <f>'Stavební rozpočet'!J68</f>
        <v>0</v>
      </c>
      <c r="G17" s="54">
        <f>'Stavební rozpočet'!L68</f>
        <v>0</v>
      </c>
      <c r="H17" s="50" t="s">
        <v>126</v>
      </c>
      <c r="I17" s="33">
        <f t="shared" si="0"/>
        <v>0</v>
      </c>
      <c r="J17" s="85"/>
    </row>
    <row r="18" spans="1:10" s="81" customFormat="1" x14ac:dyDescent="0.25">
      <c r="A18" s="42"/>
      <c r="B18" s="118"/>
      <c r="C18" s="118" t="s">
        <v>132</v>
      </c>
      <c r="D18" s="33">
        <f>'Stavební rozpočet'!H62</f>
        <v>0</v>
      </c>
      <c r="E18" s="33">
        <f>'Stavební rozpočet'!I62</f>
        <v>0</v>
      </c>
      <c r="F18" s="33">
        <f>'Stavební rozpočet'!J62</f>
        <v>0</v>
      </c>
      <c r="G18" s="54">
        <f>'Stavební rozpočet'!L62</f>
        <v>4.5903200000000002</v>
      </c>
      <c r="H18" s="50"/>
      <c r="I18" s="33"/>
      <c r="J18" s="85"/>
    </row>
    <row r="19" spans="1:10" x14ac:dyDescent="0.25">
      <c r="A19" s="43"/>
      <c r="B19" s="46" t="s">
        <v>33</v>
      </c>
      <c r="C19" s="46" t="s">
        <v>64</v>
      </c>
      <c r="D19" s="52">
        <f>'Stavební rozpočet'!H71</f>
        <v>0</v>
      </c>
      <c r="E19" s="52">
        <f>'Stavební rozpočet'!I71</f>
        <v>0</v>
      </c>
      <c r="F19" s="52">
        <f>'Stavební rozpočet'!J71</f>
        <v>0</v>
      </c>
      <c r="G19" s="55">
        <f>'Stavební rozpočet'!L71</f>
        <v>0</v>
      </c>
      <c r="H19" s="50" t="s">
        <v>126</v>
      </c>
      <c r="I19" s="33">
        <f t="shared" si="0"/>
        <v>0</v>
      </c>
      <c r="J19" s="85"/>
    </row>
    <row r="20" spans="1:10" x14ac:dyDescent="0.25">
      <c r="A20" s="84" t="s">
        <v>85</v>
      </c>
      <c r="B20" s="8"/>
      <c r="C20" s="8"/>
      <c r="D20" s="91">
        <f>SUM(D11:D19)</f>
        <v>0</v>
      </c>
      <c r="E20" s="91">
        <f>SUM(E11:E19)</f>
        <v>0</v>
      </c>
      <c r="F20" s="91">
        <f>SUM(F11:F19)</f>
        <v>0</v>
      </c>
      <c r="G20" s="8"/>
    </row>
    <row r="21" spans="1:10" x14ac:dyDescent="0.25">
      <c r="E21" s="85"/>
    </row>
    <row r="22" spans="1:10" x14ac:dyDescent="0.25">
      <c r="D22" s="85"/>
      <c r="E22" s="85"/>
    </row>
    <row r="23" spans="1:10" x14ac:dyDescent="0.25">
      <c r="E23" s="85"/>
    </row>
    <row r="24" spans="1:10" x14ac:dyDescent="0.25">
      <c r="E24" s="85"/>
    </row>
    <row r="25" spans="1:10" x14ac:dyDescent="0.25">
      <c r="E25" s="85"/>
    </row>
    <row r="26" spans="1:10" x14ac:dyDescent="0.25">
      <c r="E26" s="85"/>
    </row>
  </sheetData>
  <sheetProtection algorithmName="SHA-512" hashValue="2etF+qRfS25uycbAxOA/TF+rnSYgGILNiUeLDHiqusAb/Ygvc8DRmSYG+rB4eWqS3N6VP1XmnWg8FC7K0rrFgQ==" saltValue="J+QJSymdfU8LDF9ILGcrjg==" spinCount="100000" sheet="1" objects="1" scenarios="1"/>
  <mergeCells count="17">
    <mergeCell ref="A6:A7"/>
    <mergeCell ref="B6:C7"/>
    <mergeCell ref="D6:D7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10" workbookViewId="0">
      <selection activeCell="H39" sqref="H39"/>
    </sheetView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2.88671875" customWidth="1"/>
    <col min="9" max="9" width="22.88671875" customWidth="1"/>
  </cols>
  <sheetData>
    <row r="1" spans="1:10" ht="72.900000000000006" customHeight="1" x14ac:dyDescent="0.25">
      <c r="A1" s="69"/>
      <c r="B1" s="15"/>
      <c r="C1" s="201" t="s">
        <v>142</v>
      </c>
      <c r="D1" s="170"/>
      <c r="E1" s="170"/>
      <c r="F1" s="170"/>
      <c r="G1" s="170"/>
      <c r="H1" s="170"/>
      <c r="I1" s="170"/>
    </row>
    <row r="2" spans="1:10" x14ac:dyDescent="0.25">
      <c r="A2" s="171" t="s">
        <v>1</v>
      </c>
      <c r="B2" s="172"/>
      <c r="C2" s="202" t="str">
        <f>'Stavební rozpočet'!D2</f>
        <v>Oprava povrchu komunikace v Havlíčkova</v>
      </c>
      <c r="D2" s="203"/>
      <c r="E2" s="178" t="s">
        <v>79</v>
      </c>
      <c r="F2" s="178" t="str">
        <f>'Stavební rozpočet'!I2</f>
        <v>Statutární město Jihlava</v>
      </c>
      <c r="G2" s="172"/>
      <c r="H2" s="178" t="s">
        <v>167</v>
      </c>
      <c r="I2" s="205" t="s">
        <v>171</v>
      </c>
      <c r="J2" s="5"/>
    </row>
    <row r="3" spans="1:10" x14ac:dyDescent="0.25">
      <c r="A3" s="173"/>
      <c r="B3" s="174"/>
      <c r="C3" s="204"/>
      <c r="D3" s="204"/>
      <c r="E3" s="174"/>
      <c r="F3" s="174"/>
      <c r="G3" s="174"/>
      <c r="H3" s="174"/>
      <c r="I3" s="183"/>
      <c r="J3" s="5"/>
    </row>
    <row r="4" spans="1:10" x14ac:dyDescent="0.25">
      <c r="A4" s="180" t="s">
        <v>2</v>
      </c>
      <c r="B4" s="174"/>
      <c r="C4" s="179" t="str">
        <f>'Stavební rozpočet'!D4</f>
        <v xml:space="preserve"> </v>
      </c>
      <c r="D4" s="174"/>
      <c r="E4" s="179" t="s">
        <v>80</v>
      </c>
      <c r="F4" s="179" t="str">
        <f>'Stavební rozpočet'!I4</f>
        <v> </v>
      </c>
      <c r="G4" s="174"/>
      <c r="H4" s="179" t="s">
        <v>167</v>
      </c>
      <c r="I4" s="182"/>
      <c r="J4" s="5"/>
    </row>
    <row r="5" spans="1:10" x14ac:dyDescent="0.25">
      <c r="A5" s="173"/>
      <c r="B5" s="174"/>
      <c r="C5" s="174"/>
      <c r="D5" s="174"/>
      <c r="E5" s="174"/>
      <c r="F5" s="174"/>
      <c r="G5" s="174"/>
      <c r="H5" s="174"/>
      <c r="I5" s="183"/>
      <c r="J5" s="5"/>
    </row>
    <row r="6" spans="1:10" x14ac:dyDescent="0.25">
      <c r="A6" s="180" t="s">
        <v>3</v>
      </c>
      <c r="B6" s="174"/>
      <c r="C6" s="179" t="str">
        <f>'Stavební rozpočet'!D6</f>
        <v>Jihlava</v>
      </c>
      <c r="D6" s="174"/>
      <c r="E6" s="179" t="s">
        <v>81</v>
      </c>
      <c r="F6" s="179" t="str">
        <f>'Stavební rozpočet'!I6</f>
        <v>dle výběrového řízení</v>
      </c>
      <c r="G6" s="174"/>
      <c r="H6" s="179" t="s">
        <v>167</v>
      </c>
      <c r="I6" s="182"/>
      <c r="J6" s="5"/>
    </row>
    <row r="7" spans="1:10" x14ac:dyDescent="0.25">
      <c r="A7" s="173"/>
      <c r="B7" s="174"/>
      <c r="C7" s="174"/>
      <c r="D7" s="174"/>
      <c r="E7" s="174"/>
      <c r="F7" s="174"/>
      <c r="G7" s="174"/>
      <c r="H7" s="174"/>
      <c r="I7" s="183"/>
      <c r="J7" s="5"/>
    </row>
    <row r="8" spans="1:10" x14ac:dyDescent="0.25">
      <c r="A8" s="180" t="s">
        <v>68</v>
      </c>
      <c r="B8" s="174"/>
      <c r="C8" s="179" t="str">
        <f>'Stavební rozpočet'!G4</f>
        <v xml:space="preserve"> </v>
      </c>
      <c r="D8" s="174"/>
      <c r="E8" s="179" t="s">
        <v>69</v>
      </c>
      <c r="F8" s="179" t="str">
        <f>'Stavební rozpočet'!G6</f>
        <v xml:space="preserve"> </v>
      </c>
      <c r="G8" s="174"/>
      <c r="H8" s="181" t="s">
        <v>168</v>
      </c>
      <c r="I8" s="169" t="s">
        <v>219</v>
      </c>
      <c r="J8" s="5"/>
    </row>
    <row r="9" spans="1:10" x14ac:dyDescent="0.25">
      <c r="A9" s="173"/>
      <c r="B9" s="174"/>
      <c r="C9" s="174"/>
      <c r="D9" s="174"/>
      <c r="E9" s="174"/>
      <c r="F9" s="174"/>
      <c r="G9" s="174"/>
      <c r="H9" s="174"/>
      <c r="I9" s="183"/>
      <c r="J9" s="5"/>
    </row>
    <row r="10" spans="1:10" x14ac:dyDescent="0.25">
      <c r="A10" s="180" t="s">
        <v>4</v>
      </c>
      <c r="B10" s="174"/>
      <c r="C10" s="179" t="str">
        <f>'Stavební rozpočet'!D8</f>
        <v xml:space="preserve"> </v>
      </c>
      <c r="D10" s="174"/>
      <c r="E10" s="179" t="s">
        <v>82</v>
      </c>
      <c r="F10" s="179" t="str">
        <f>'Stavební rozpočet'!I8</f>
        <v>Ing. Bc. Karel Trojan</v>
      </c>
      <c r="G10" s="174"/>
      <c r="H10" s="181" t="s">
        <v>169</v>
      </c>
      <c r="I10" s="206" t="str">
        <f>'Stavební rozpočet'!G8</f>
        <v>09.09.2024</v>
      </c>
      <c r="J10" s="5"/>
    </row>
    <row r="11" spans="1:10" x14ac:dyDescent="0.25">
      <c r="A11" s="208"/>
      <c r="B11" s="209"/>
      <c r="C11" s="209"/>
      <c r="D11" s="209"/>
      <c r="E11" s="209"/>
      <c r="F11" s="209"/>
      <c r="G11" s="209"/>
      <c r="H11" s="209"/>
      <c r="I11" s="207"/>
      <c r="J11" s="5"/>
    </row>
    <row r="12" spans="1:10" ht="23.4" customHeight="1" x14ac:dyDescent="0.25">
      <c r="A12" s="210" t="s">
        <v>127</v>
      </c>
      <c r="B12" s="211"/>
      <c r="C12" s="211"/>
      <c r="D12" s="211"/>
      <c r="E12" s="211"/>
      <c r="F12" s="211"/>
      <c r="G12" s="211"/>
      <c r="H12" s="211"/>
      <c r="I12" s="211"/>
    </row>
    <row r="13" spans="1:10" ht="26.4" customHeight="1" x14ac:dyDescent="0.25">
      <c r="A13" s="56" t="s">
        <v>128</v>
      </c>
      <c r="B13" s="212" t="s">
        <v>140</v>
      </c>
      <c r="C13" s="213"/>
      <c r="D13" s="56" t="s">
        <v>143</v>
      </c>
      <c r="E13" s="212" t="s">
        <v>152</v>
      </c>
      <c r="F13" s="213"/>
      <c r="G13" s="56" t="s">
        <v>153</v>
      </c>
      <c r="H13" s="212" t="s">
        <v>170</v>
      </c>
      <c r="I13" s="213"/>
      <c r="J13" s="5"/>
    </row>
    <row r="14" spans="1:10" ht="15.15" customHeight="1" x14ac:dyDescent="0.25">
      <c r="A14" s="57" t="s">
        <v>129</v>
      </c>
      <c r="B14" s="61" t="s">
        <v>141</v>
      </c>
      <c r="C14" s="64">
        <f>'Stavební rozpočet - součet'!D20</f>
        <v>0</v>
      </c>
      <c r="D14" s="214" t="s">
        <v>144</v>
      </c>
      <c r="E14" s="215"/>
      <c r="F14" s="64">
        <v>0</v>
      </c>
      <c r="G14" s="214" t="s">
        <v>154</v>
      </c>
      <c r="H14" s="215"/>
      <c r="I14" s="64">
        <v>0</v>
      </c>
      <c r="J14" s="5"/>
    </row>
    <row r="15" spans="1:10" ht="15.15" customHeight="1" x14ac:dyDescent="0.25">
      <c r="A15" s="58"/>
      <c r="B15" s="61" t="s">
        <v>89</v>
      </c>
      <c r="C15" s="64">
        <f>'Stavební rozpočet - součet'!E20-'Stavební rozpočet - součet'!E19</f>
        <v>0</v>
      </c>
      <c r="D15" s="214" t="s">
        <v>145</v>
      </c>
      <c r="E15" s="215"/>
      <c r="F15" s="64">
        <v>0</v>
      </c>
      <c r="G15" s="214" t="s">
        <v>155</v>
      </c>
      <c r="H15" s="215"/>
      <c r="I15" s="64">
        <v>0</v>
      </c>
      <c r="J15" s="5"/>
    </row>
    <row r="16" spans="1:10" ht="15.15" customHeight="1" x14ac:dyDescent="0.25">
      <c r="A16" s="57" t="s">
        <v>130</v>
      </c>
      <c r="B16" s="61" t="s">
        <v>141</v>
      </c>
      <c r="C16" s="64">
        <f>SUM('Stavební rozpočet'!AD11:AD78)</f>
        <v>0</v>
      </c>
      <c r="D16" s="214" t="s">
        <v>146</v>
      </c>
      <c r="E16" s="215"/>
      <c r="F16" s="64">
        <v>0</v>
      </c>
      <c r="G16" s="214" t="s">
        <v>156</v>
      </c>
      <c r="H16" s="215"/>
      <c r="I16" s="64">
        <v>0</v>
      </c>
      <c r="J16" s="5"/>
    </row>
    <row r="17" spans="1:10" ht="15.15" customHeight="1" x14ac:dyDescent="0.25">
      <c r="A17" s="58"/>
      <c r="B17" s="61" t="s">
        <v>89</v>
      </c>
      <c r="C17" s="64">
        <f>SUM('Stavební rozpočet'!AD12:AD79)</f>
        <v>0</v>
      </c>
      <c r="D17" s="214"/>
      <c r="E17" s="215"/>
      <c r="F17" s="65"/>
      <c r="G17" s="214" t="s">
        <v>157</v>
      </c>
      <c r="H17" s="215"/>
      <c r="I17" s="64">
        <v>0</v>
      </c>
      <c r="J17" s="5"/>
    </row>
    <row r="18" spans="1:10" ht="15.15" customHeight="1" x14ac:dyDescent="0.25">
      <c r="A18" s="57" t="s">
        <v>131</v>
      </c>
      <c r="B18" s="61" t="s">
        <v>141</v>
      </c>
      <c r="C18" s="64">
        <f>SUM('Stavební rozpočet'!AE12:AE79)</f>
        <v>0</v>
      </c>
      <c r="D18" s="214"/>
      <c r="E18" s="215"/>
      <c r="F18" s="65"/>
      <c r="G18" s="214" t="s">
        <v>158</v>
      </c>
      <c r="H18" s="215"/>
      <c r="I18" s="64">
        <v>0</v>
      </c>
      <c r="J18" s="5"/>
    </row>
    <row r="19" spans="1:10" ht="15.15" customHeight="1" x14ac:dyDescent="0.25">
      <c r="A19" s="58"/>
      <c r="B19" s="61" t="s">
        <v>89</v>
      </c>
      <c r="C19" s="64">
        <f>SUM('Stavební rozpočet'!AF12:AF79)</f>
        <v>0</v>
      </c>
      <c r="D19" s="214"/>
      <c r="E19" s="215"/>
      <c r="F19" s="65"/>
      <c r="G19" s="214" t="s">
        <v>159</v>
      </c>
      <c r="H19" s="215"/>
      <c r="I19" s="64">
        <v>0</v>
      </c>
      <c r="J19" s="5"/>
    </row>
    <row r="20" spans="1:10" ht="15.15" customHeight="1" x14ac:dyDescent="0.25">
      <c r="A20" s="216" t="s">
        <v>132</v>
      </c>
      <c r="B20" s="217"/>
      <c r="C20" s="64">
        <f>SUM('Stavební rozpočet'!AG12:AG79)</f>
        <v>0</v>
      </c>
      <c r="D20" s="214"/>
      <c r="E20" s="215"/>
      <c r="F20" s="65"/>
      <c r="G20" s="214"/>
      <c r="H20" s="215"/>
      <c r="I20" s="65"/>
      <c r="J20" s="5"/>
    </row>
    <row r="21" spans="1:10" ht="15.15" customHeight="1" x14ac:dyDescent="0.25">
      <c r="A21" s="216" t="s">
        <v>133</v>
      </c>
      <c r="B21" s="217"/>
      <c r="C21" s="64">
        <f>'Stavební rozpočet - součet'!E19</f>
        <v>0</v>
      </c>
      <c r="D21" s="214"/>
      <c r="E21" s="215"/>
      <c r="F21" s="65"/>
      <c r="G21" s="214"/>
      <c r="H21" s="215"/>
      <c r="I21" s="65"/>
      <c r="J21" s="5"/>
    </row>
    <row r="22" spans="1:10" ht="16.649999999999999" customHeight="1" x14ac:dyDescent="0.25">
      <c r="A22" s="216" t="s">
        <v>134</v>
      </c>
      <c r="B22" s="217"/>
      <c r="C22" s="64">
        <f>ROUND(SUM(C14:C21),0)</f>
        <v>0</v>
      </c>
      <c r="D22" s="216" t="s">
        <v>147</v>
      </c>
      <c r="E22" s="217"/>
      <c r="F22" s="64">
        <f>SUM(F14:F21)</f>
        <v>0</v>
      </c>
      <c r="G22" s="216" t="s">
        <v>160</v>
      </c>
      <c r="H22" s="217"/>
      <c r="I22" s="64">
        <f>SUM(I14:I21)</f>
        <v>0</v>
      </c>
      <c r="J22" s="5"/>
    </row>
    <row r="23" spans="1:10" ht="15.15" customHeight="1" x14ac:dyDescent="0.25">
      <c r="A23" s="8"/>
      <c r="B23" s="8"/>
      <c r="C23" s="63"/>
      <c r="D23" s="216" t="s">
        <v>148</v>
      </c>
      <c r="E23" s="217"/>
      <c r="F23" s="66">
        <v>0</v>
      </c>
      <c r="G23" s="216" t="s">
        <v>161</v>
      </c>
      <c r="H23" s="217"/>
      <c r="I23" s="64">
        <v>0</v>
      </c>
      <c r="J23" s="5"/>
    </row>
    <row r="24" spans="1:10" ht="15.15" customHeight="1" x14ac:dyDescent="0.25">
      <c r="D24" s="8"/>
      <c r="E24" s="8"/>
      <c r="F24" s="67"/>
      <c r="G24" s="216" t="s">
        <v>162</v>
      </c>
      <c r="H24" s="217"/>
      <c r="I24" s="64">
        <v>0</v>
      </c>
      <c r="J24" s="5"/>
    </row>
    <row r="25" spans="1:10" ht="15.15" customHeight="1" x14ac:dyDescent="0.25">
      <c r="F25" s="31"/>
      <c r="G25" s="216" t="s">
        <v>163</v>
      </c>
      <c r="H25" s="217"/>
      <c r="I25" s="64">
        <v>0</v>
      </c>
      <c r="J25" s="5"/>
    </row>
    <row r="26" spans="1:10" x14ac:dyDescent="0.25">
      <c r="A26" s="15"/>
      <c r="B26" s="15"/>
      <c r="C26" s="15"/>
      <c r="G26" s="8"/>
      <c r="H26" s="8"/>
      <c r="I26" s="8"/>
    </row>
    <row r="27" spans="1:10" ht="15.15" customHeight="1" x14ac:dyDescent="0.25">
      <c r="A27" s="218" t="s">
        <v>135</v>
      </c>
      <c r="B27" s="219"/>
      <c r="C27" s="68">
        <f>ROUND(SUM('Stavební rozpočet'!AI12:AI79),0)</f>
        <v>0</v>
      </c>
      <c r="D27" s="7"/>
      <c r="E27" s="15"/>
      <c r="F27" s="15"/>
      <c r="G27" s="15"/>
      <c r="H27" s="15"/>
      <c r="I27" s="15"/>
    </row>
    <row r="28" spans="1:10" ht="15.15" customHeight="1" x14ac:dyDescent="0.25">
      <c r="A28" s="218" t="s">
        <v>136</v>
      </c>
      <c r="B28" s="219"/>
      <c r="C28" s="68">
        <f>ROUND(SUM('Stavební rozpočet'!AJ12:AJ79),0)</f>
        <v>0</v>
      </c>
      <c r="D28" s="218" t="s">
        <v>149</v>
      </c>
      <c r="E28" s="219"/>
      <c r="F28" s="68">
        <f>ROUND(C28*(15/100),2)</f>
        <v>0</v>
      </c>
      <c r="G28" s="218" t="s">
        <v>164</v>
      </c>
      <c r="H28" s="219"/>
      <c r="I28" s="68">
        <f>ROUND(SUM(C27:C29),0)</f>
        <v>0</v>
      </c>
      <c r="J28" s="5"/>
    </row>
    <row r="29" spans="1:10" ht="15.15" customHeight="1" x14ac:dyDescent="0.25">
      <c r="A29" s="218" t="s">
        <v>137</v>
      </c>
      <c r="B29" s="219"/>
      <c r="C29" s="68">
        <f>C22</f>
        <v>0</v>
      </c>
      <c r="D29" s="218" t="s">
        <v>150</v>
      </c>
      <c r="E29" s="219"/>
      <c r="F29" s="68">
        <f>ROUND(C29*(21/100),2)</f>
        <v>0</v>
      </c>
      <c r="G29" s="218" t="s">
        <v>165</v>
      </c>
      <c r="H29" s="219"/>
      <c r="I29" s="68">
        <f>ROUND(SUM(F28:F29)+I28,0)</f>
        <v>0</v>
      </c>
      <c r="J29" s="5"/>
    </row>
    <row r="30" spans="1:10" x14ac:dyDescent="0.25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" customHeight="1" x14ac:dyDescent="0.25">
      <c r="A31" s="220" t="s">
        <v>138</v>
      </c>
      <c r="B31" s="221"/>
      <c r="C31" s="222"/>
      <c r="D31" s="220" t="s">
        <v>151</v>
      </c>
      <c r="E31" s="221"/>
      <c r="F31" s="222"/>
      <c r="G31" s="220" t="s">
        <v>166</v>
      </c>
      <c r="H31" s="221"/>
      <c r="I31" s="222"/>
      <c r="J31" s="32"/>
    </row>
    <row r="32" spans="1:10" ht="14.4" customHeight="1" x14ac:dyDescent="0.25">
      <c r="A32" s="223"/>
      <c r="B32" s="224"/>
      <c r="C32" s="225"/>
      <c r="D32" s="223"/>
      <c r="E32" s="224"/>
      <c r="F32" s="225"/>
      <c r="G32" s="223"/>
      <c r="H32" s="224"/>
      <c r="I32" s="225"/>
      <c r="J32" s="32"/>
    </row>
    <row r="33" spans="1:10" ht="14.4" customHeight="1" x14ac:dyDescent="0.25">
      <c r="A33" s="223"/>
      <c r="B33" s="224"/>
      <c r="C33" s="225"/>
      <c r="D33" s="223"/>
      <c r="E33" s="224"/>
      <c r="F33" s="225"/>
      <c r="G33" s="223"/>
      <c r="H33" s="224"/>
      <c r="I33" s="225"/>
      <c r="J33" s="32"/>
    </row>
    <row r="34" spans="1:10" ht="14.4" customHeight="1" x14ac:dyDescent="0.25">
      <c r="A34" s="223"/>
      <c r="B34" s="224"/>
      <c r="C34" s="225"/>
      <c r="D34" s="223"/>
      <c r="E34" s="224"/>
      <c r="F34" s="225"/>
      <c r="G34" s="223"/>
      <c r="H34" s="224"/>
      <c r="I34" s="225"/>
      <c r="J34" s="32"/>
    </row>
    <row r="35" spans="1:10" ht="14.4" customHeight="1" x14ac:dyDescent="0.25">
      <c r="A35" s="226" t="s">
        <v>139</v>
      </c>
      <c r="B35" s="227"/>
      <c r="C35" s="228"/>
      <c r="D35" s="226" t="s">
        <v>139</v>
      </c>
      <c r="E35" s="227"/>
      <c r="F35" s="228"/>
      <c r="G35" s="226" t="s">
        <v>139</v>
      </c>
      <c r="H35" s="227"/>
      <c r="I35" s="228"/>
      <c r="J35" s="32"/>
    </row>
    <row r="36" spans="1:10" ht="11.25" customHeight="1" x14ac:dyDescent="0.25">
      <c r="A36" s="60" t="s">
        <v>18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25">
      <c r="A37" s="179" t="s">
        <v>19</v>
      </c>
      <c r="B37" s="174"/>
      <c r="C37" s="174"/>
      <c r="D37" s="174"/>
      <c r="E37" s="174"/>
      <c r="F37" s="174"/>
      <c r="G37" s="174"/>
      <c r="H37" s="174"/>
      <c r="I37" s="174"/>
    </row>
  </sheetData>
  <sheetProtection algorithmName="SHA-512" hashValue="B+BTCJCPrqVYQMuvPbdREt0K3jONoflXjMt99NrgM4aYcG7bzKOqPL/wWhv1EkW+uGyCrpNwLZ61f3M/L3D+xA==" saltValue="rJdlV5lHZkEN7V13bXxd7A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TROJAN Karel Ing. Bc. Ph.D.</cp:lastModifiedBy>
  <dcterms:created xsi:type="dcterms:W3CDTF">2021-05-04T16:19:33Z</dcterms:created>
  <dcterms:modified xsi:type="dcterms:W3CDTF">2024-09-19T19:38:39Z</dcterms:modified>
</cp:coreProperties>
</file>