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ojan.karel\Desktop\Rozpočtové práce 2025\Chondík Jarní\"/>
    </mc:Choice>
  </mc:AlternateContent>
  <bookViews>
    <workbookView xWindow="7668" yWindow="936" windowWidth="23280" windowHeight="19428" activeTab="2"/>
  </bookViews>
  <sheets>
    <sheet name="Stavební rozpočet" sheetId="1" r:id="rId1"/>
    <sheet name="Stavební rozpočet - součet" sheetId="2" r:id="rId2"/>
    <sheet name="Krycí list rozpočtu" sheetId="5" r:id="rId3"/>
  </sheets>
  <calcPr calcId="162913"/>
</workbook>
</file>

<file path=xl/calcChain.xml><?xml version="1.0" encoding="utf-8"?>
<calcChain xmlns="http://schemas.openxmlformats.org/spreadsheetml/2006/main">
  <c r="F100" i="1" l="1"/>
  <c r="F103" i="1"/>
  <c r="F98" i="1"/>
  <c r="F95" i="1"/>
  <c r="C2" i="5" l="1"/>
  <c r="F2" i="5"/>
  <c r="C4" i="5"/>
  <c r="F4" i="5"/>
  <c r="C6" i="5"/>
  <c r="F6" i="5"/>
  <c r="C8" i="5"/>
  <c r="F8" i="5"/>
  <c r="C10" i="5"/>
  <c r="F10" i="5"/>
  <c r="I10" i="5"/>
  <c r="F22" i="5"/>
  <c r="I22" i="5"/>
  <c r="J13" i="1"/>
  <c r="L13" i="1"/>
  <c r="Y13" i="1"/>
  <c r="AC13" i="1"/>
  <c r="AD13" i="1"/>
  <c r="AE13" i="1"/>
  <c r="AF13" i="1"/>
  <c r="AG13" i="1"/>
  <c r="AI13" i="1"/>
  <c r="AJ13" i="1"/>
  <c r="AN13" i="1"/>
  <c r="H13" i="1" s="1"/>
  <c r="AO13" i="1"/>
  <c r="I13" i="1" s="1"/>
  <c r="AV13" i="1"/>
  <c r="BC13" i="1"/>
  <c r="BE13" i="1"/>
  <c r="BI13" i="1"/>
  <c r="J15" i="1"/>
  <c r="L15" i="1"/>
  <c r="BE15" i="1" s="1"/>
  <c r="Y15" i="1"/>
  <c r="AC15" i="1"/>
  <c r="AD15" i="1"/>
  <c r="AE15" i="1"/>
  <c r="AF15" i="1"/>
  <c r="AG15" i="1"/>
  <c r="AI15" i="1"/>
  <c r="AJ15" i="1"/>
  <c r="AN15" i="1"/>
  <c r="H15" i="1" s="1"/>
  <c r="AO15" i="1"/>
  <c r="I15" i="1" s="1"/>
  <c r="AW15" i="1"/>
  <c r="BC15" i="1"/>
  <c r="BH15" i="1"/>
  <c r="AB15" i="1" s="1"/>
  <c r="BI15" i="1"/>
  <c r="H17" i="1"/>
  <c r="I17" i="1"/>
  <c r="J17" i="1"/>
  <c r="L17" i="1"/>
  <c r="BE17" i="1" s="1"/>
  <c r="Y17" i="1"/>
  <c r="AC17" i="1"/>
  <c r="AD17" i="1"/>
  <c r="AE17" i="1"/>
  <c r="AF17" i="1"/>
  <c r="AG17" i="1"/>
  <c r="AI17" i="1"/>
  <c r="AJ17" i="1"/>
  <c r="AN17" i="1"/>
  <c r="AO17" i="1"/>
  <c r="AW17" i="1" s="1"/>
  <c r="AV17" i="1"/>
  <c r="BC17" i="1"/>
  <c r="BG17" i="1"/>
  <c r="AA17" i="1" s="1"/>
  <c r="BI17" i="1"/>
  <c r="H19" i="1"/>
  <c r="J19" i="1"/>
  <c r="AK19" i="1" s="1"/>
  <c r="L19" i="1"/>
  <c r="BE19" i="1" s="1"/>
  <c r="Y19" i="1"/>
  <c r="AC19" i="1"/>
  <c r="AD19" i="1"/>
  <c r="AE19" i="1"/>
  <c r="AF19" i="1"/>
  <c r="AG19" i="1"/>
  <c r="AI19" i="1"/>
  <c r="AJ19" i="1"/>
  <c r="AN19" i="1"/>
  <c r="AO19" i="1"/>
  <c r="BH19" i="1" s="1"/>
  <c r="AB19" i="1" s="1"/>
  <c r="AV19" i="1"/>
  <c r="BC19" i="1"/>
  <c r="BG19" i="1"/>
  <c r="AA19" i="1" s="1"/>
  <c r="BI19" i="1"/>
  <c r="H21" i="1"/>
  <c r="J21" i="1"/>
  <c r="L21" i="1"/>
  <c r="BE21" i="1" s="1"/>
  <c r="Y21" i="1"/>
  <c r="AC21" i="1"/>
  <c r="AD21" i="1"/>
  <c r="AE21" i="1"/>
  <c r="AF21" i="1"/>
  <c r="AG21" i="1"/>
  <c r="AI21" i="1"/>
  <c r="AJ21" i="1"/>
  <c r="AN21" i="1"/>
  <c r="AO21" i="1"/>
  <c r="I21" i="1" s="1"/>
  <c r="AV21" i="1"/>
  <c r="BC21" i="1"/>
  <c r="BG21" i="1"/>
  <c r="AA21" i="1" s="1"/>
  <c r="BH21" i="1"/>
  <c r="AB21" i="1" s="1"/>
  <c r="BI21" i="1"/>
  <c r="H23" i="1"/>
  <c r="J23" i="1"/>
  <c r="L23" i="1"/>
  <c r="BE23" i="1" s="1"/>
  <c r="Y23" i="1"/>
  <c r="AC23" i="1"/>
  <c r="AD23" i="1"/>
  <c r="AE23" i="1"/>
  <c r="AF23" i="1"/>
  <c r="AG23" i="1"/>
  <c r="AI23" i="1"/>
  <c r="AJ23" i="1"/>
  <c r="AN23" i="1"/>
  <c r="AO23" i="1"/>
  <c r="BH23" i="1" s="1"/>
  <c r="AB23" i="1" s="1"/>
  <c r="AV23" i="1"/>
  <c r="BC23" i="1"/>
  <c r="BG23" i="1"/>
  <c r="AA23" i="1" s="1"/>
  <c r="BI23" i="1"/>
  <c r="H25" i="1"/>
  <c r="J25" i="1"/>
  <c r="L25" i="1"/>
  <c r="BE25" i="1" s="1"/>
  <c r="Y25" i="1"/>
  <c r="AC25" i="1"/>
  <c r="AD25" i="1"/>
  <c r="AE25" i="1"/>
  <c r="AF25" i="1"/>
  <c r="AG25" i="1"/>
  <c r="AI25" i="1"/>
  <c r="AJ25" i="1"/>
  <c r="AN25" i="1"/>
  <c r="AV25" i="1" s="1"/>
  <c r="AO25" i="1"/>
  <c r="I25" i="1" s="1"/>
  <c r="BC25" i="1"/>
  <c r="BI25" i="1"/>
  <c r="J27" i="1"/>
  <c r="L27" i="1"/>
  <c r="BE27" i="1" s="1"/>
  <c r="Y27" i="1"/>
  <c r="AC27" i="1"/>
  <c r="AD27" i="1"/>
  <c r="AE27" i="1"/>
  <c r="AF27" i="1"/>
  <c r="AG27" i="1"/>
  <c r="AI27" i="1"/>
  <c r="AJ27" i="1"/>
  <c r="AN27" i="1"/>
  <c r="AV27" i="1" s="1"/>
  <c r="AO27" i="1"/>
  <c r="I27" i="1" s="1"/>
  <c r="BC27" i="1"/>
  <c r="BI27" i="1"/>
  <c r="I29" i="1"/>
  <c r="J29" i="1"/>
  <c r="L29" i="1"/>
  <c r="BE29" i="1" s="1"/>
  <c r="Y29" i="1"/>
  <c r="AC29" i="1"/>
  <c r="AD29" i="1"/>
  <c r="AE29" i="1"/>
  <c r="AF29" i="1"/>
  <c r="AG29" i="1"/>
  <c r="AI29" i="1"/>
  <c r="AJ29" i="1"/>
  <c r="AN29" i="1"/>
  <c r="BG29" i="1" s="1"/>
  <c r="AA29" i="1" s="1"/>
  <c r="AO29" i="1"/>
  <c r="BH29" i="1" s="1"/>
  <c r="AB29" i="1" s="1"/>
  <c r="BC29" i="1"/>
  <c r="BI29" i="1"/>
  <c r="J32" i="1"/>
  <c r="L32" i="1"/>
  <c r="BE32" i="1" s="1"/>
  <c r="Y32" i="1"/>
  <c r="AC32" i="1"/>
  <c r="AD32" i="1"/>
  <c r="AE32" i="1"/>
  <c r="AF32" i="1"/>
  <c r="AG32" i="1"/>
  <c r="AI32" i="1"/>
  <c r="AJ32" i="1"/>
  <c r="AN32" i="1"/>
  <c r="BG32" i="1" s="1"/>
  <c r="AA32" i="1" s="1"/>
  <c r="AO32" i="1"/>
  <c r="BH32" i="1" s="1"/>
  <c r="AB32" i="1" s="1"/>
  <c r="BC32" i="1"/>
  <c r="BI32" i="1"/>
  <c r="J34" i="1"/>
  <c r="L34" i="1"/>
  <c r="BE34" i="1" s="1"/>
  <c r="Y34" i="1"/>
  <c r="AC34" i="1"/>
  <c r="AD34" i="1"/>
  <c r="AE34" i="1"/>
  <c r="AF34" i="1"/>
  <c r="AG34" i="1"/>
  <c r="AI34" i="1"/>
  <c r="AJ34" i="1"/>
  <c r="AN34" i="1"/>
  <c r="BG34" i="1" s="1"/>
  <c r="AA34" i="1" s="1"/>
  <c r="AO34" i="1"/>
  <c r="BH34" i="1" s="1"/>
  <c r="AB34" i="1" s="1"/>
  <c r="AW34" i="1"/>
  <c r="BC34" i="1"/>
  <c r="BI34" i="1"/>
  <c r="J36" i="1"/>
  <c r="L36" i="1"/>
  <c r="BE36" i="1" s="1"/>
  <c r="Y36" i="1"/>
  <c r="AC36" i="1"/>
  <c r="AD36" i="1"/>
  <c r="AE36" i="1"/>
  <c r="AF36" i="1"/>
  <c r="AG36" i="1"/>
  <c r="AI36" i="1"/>
  <c r="AJ36" i="1"/>
  <c r="AN36" i="1"/>
  <c r="AV36" i="1" s="1"/>
  <c r="AO36" i="1"/>
  <c r="I36" i="1" s="1"/>
  <c r="BC36" i="1"/>
  <c r="BI36" i="1"/>
  <c r="J39" i="1"/>
  <c r="AK39" i="1" s="1"/>
  <c r="L39" i="1"/>
  <c r="BE39" i="1" s="1"/>
  <c r="Y39" i="1"/>
  <c r="AC39" i="1"/>
  <c r="AD39" i="1"/>
  <c r="AE39" i="1"/>
  <c r="AF39" i="1"/>
  <c r="AG39" i="1"/>
  <c r="AI39" i="1"/>
  <c r="AJ39" i="1"/>
  <c r="AN39" i="1"/>
  <c r="AV39" i="1" s="1"/>
  <c r="AO39" i="1"/>
  <c r="BH39" i="1" s="1"/>
  <c r="AB39" i="1" s="1"/>
  <c r="AW39" i="1"/>
  <c r="BC39" i="1"/>
  <c r="BI39" i="1"/>
  <c r="J41" i="1"/>
  <c r="L41" i="1"/>
  <c r="BE41" i="1" s="1"/>
  <c r="Y41" i="1"/>
  <c r="AC41" i="1"/>
  <c r="AD41" i="1"/>
  <c r="AE41" i="1"/>
  <c r="AF41" i="1"/>
  <c r="AG41" i="1"/>
  <c r="AI41" i="1"/>
  <c r="AJ41" i="1"/>
  <c r="AN41" i="1"/>
  <c r="H41" i="1" s="1"/>
  <c r="AO41" i="1"/>
  <c r="I41" i="1" s="1"/>
  <c r="BC41" i="1"/>
  <c r="BI41" i="1"/>
  <c r="J43" i="1"/>
  <c r="L43" i="1"/>
  <c r="BE43" i="1" s="1"/>
  <c r="Y43" i="1"/>
  <c r="AC43" i="1"/>
  <c r="AD43" i="1"/>
  <c r="AE43" i="1"/>
  <c r="AF43" i="1"/>
  <c r="AG43" i="1"/>
  <c r="AI43" i="1"/>
  <c r="AJ43" i="1"/>
  <c r="AN43" i="1"/>
  <c r="BG43" i="1" s="1"/>
  <c r="AA43" i="1" s="1"/>
  <c r="AO43" i="1"/>
  <c r="BH43" i="1" s="1"/>
  <c r="AB43" i="1" s="1"/>
  <c r="BC43" i="1"/>
  <c r="BI43" i="1"/>
  <c r="J47" i="1"/>
  <c r="L47" i="1"/>
  <c r="BE47" i="1" s="1"/>
  <c r="Y47" i="1"/>
  <c r="AC47" i="1"/>
  <c r="AD47" i="1"/>
  <c r="AE47" i="1"/>
  <c r="AF47" i="1"/>
  <c r="AG47" i="1"/>
  <c r="AI47" i="1"/>
  <c r="AR46" i="1" s="1"/>
  <c r="AJ47" i="1"/>
  <c r="AS46" i="1" s="1"/>
  <c r="AN47" i="1"/>
  <c r="BG47" i="1" s="1"/>
  <c r="AA47" i="1" s="1"/>
  <c r="AO47" i="1"/>
  <c r="BH47" i="1" s="1"/>
  <c r="AB47" i="1" s="1"/>
  <c r="AW47" i="1"/>
  <c r="BC47" i="1"/>
  <c r="BI47" i="1"/>
  <c r="J50" i="1"/>
  <c r="L50" i="1"/>
  <c r="BE50" i="1" s="1"/>
  <c r="Y50" i="1"/>
  <c r="AC50" i="1"/>
  <c r="AD50" i="1"/>
  <c r="AE50" i="1"/>
  <c r="AF50" i="1"/>
  <c r="AG50" i="1"/>
  <c r="AI50" i="1"/>
  <c r="AR49" i="1" s="1"/>
  <c r="AJ50" i="1"/>
  <c r="AN50" i="1"/>
  <c r="BG50" i="1" s="1"/>
  <c r="AA50" i="1" s="1"/>
  <c r="AO50" i="1"/>
  <c r="BH50" i="1" s="1"/>
  <c r="AB50" i="1" s="1"/>
  <c r="AW50" i="1"/>
  <c r="BC50" i="1"/>
  <c r="BI50" i="1"/>
  <c r="J53" i="1"/>
  <c r="L53" i="1"/>
  <c r="BE53" i="1" s="1"/>
  <c r="Y53" i="1"/>
  <c r="AC53" i="1"/>
  <c r="AD53" i="1"/>
  <c r="AE53" i="1"/>
  <c r="AF53" i="1"/>
  <c r="AG53" i="1"/>
  <c r="AI53" i="1"/>
  <c r="AJ53" i="1"/>
  <c r="AN53" i="1"/>
  <c r="AV53" i="1" s="1"/>
  <c r="AO53" i="1"/>
  <c r="BH53" i="1" s="1"/>
  <c r="AB53" i="1" s="1"/>
  <c r="AW53" i="1"/>
  <c r="BC53" i="1"/>
  <c r="BI53" i="1"/>
  <c r="J56" i="1"/>
  <c r="L56" i="1"/>
  <c r="BE56" i="1" s="1"/>
  <c r="Y56" i="1"/>
  <c r="AC56" i="1"/>
  <c r="AD56" i="1"/>
  <c r="AE56" i="1"/>
  <c r="AF56" i="1"/>
  <c r="AG56" i="1"/>
  <c r="AI56" i="1"/>
  <c r="AJ56" i="1"/>
  <c r="AN56" i="1"/>
  <c r="H56" i="1" s="1"/>
  <c r="AO56" i="1"/>
  <c r="I56" i="1" s="1"/>
  <c r="BC56" i="1"/>
  <c r="BI56" i="1"/>
  <c r="J60" i="1"/>
  <c r="L60" i="1"/>
  <c r="BE60" i="1" s="1"/>
  <c r="Y60" i="1"/>
  <c r="AC60" i="1"/>
  <c r="AD60" i="1"/>
  <c r="AE60" i="1"/>
  <c r="AF60" i="1"/>
  <c r="AG60" i="1"/>
  <c r="AI60" i="1"/>
  <c r="AJ60" i="1"/>
  <c r="AN60" i="1"/>
  <c r="H60" i="1" s="1"/>
  <c r="AO60" i="1"/>
  <c r="I60" i="1" s="1"/>
  <c r="BC60" i="1"/>
  <c r="BI60" i="1"/>
  <c r="J62" i="1"/>
  <c r="AK62" i="1" s="1"/>
  <c r="L62" i="1"/>
  <c r="BE62" i="1" s="1"/>
  <c r="Y62" i="1"/>
  <c r="AC62" i="1"/>
  <c r="AD62" i="1"/>
  <c r="AE62" i="1"/>
  <c r="AF62" i="1"/>
  <c r="AG62" i="1"/>
  <c r="AI62" i="1"/>
  <c r="AJ62" i="1"/>
  <c r="AN62" i="1"/>
  <c r="BG62" i="1" s="1"/>
  <c r="AA62" i="1" s="1"/>
  <c r="AO62" i="1"/>
  <c r="BH62" i="1" s="1"/>
  <c r="AB62" i="1" s="1"/>
  <c r="BC62" i="1"/>
  <c r="BI62" i="1"/>
  <c r="J65" i="1"/>
  <c r="AK65" i="1" s="1"/>
  <c r="L65" i="1"/>
  <c r="BE65" i="1" s="1"/>
  <c r="Y65" i="1"/>
  <c r="AC65" i="1"/>
  <c r="AD65" i="1"/>
  <c r="AE65" i="1"/>
  <c r="AF65" i="1"/>
  <c r="AG65" i="1"/>
  <c r="AI65" i="1"/>
  <c r="AJ65" i="1"/>
  <c r="AN65" i="1"/>
  <c r="BG65" i="1" s="1"/>
  <c r="AA65" i="1" s="1"/>
  <c r="AO65" i="1"/>
  <c r="AW65" i="1" s="1"/>
  <c r="AV65" i="1"/>
  <c r="AU65" i="1" s="1"/>
  <c r="BC65" i="1"/>
  <c r="BI65" i="1"/>
  <c r="J69" i="1"/>
  <c r="L69" i="1"/>
  <c r="BE69" i="1" s="1"/>
  <c r="Y69" i="1"/>
  <c r="AC69" i="1"/>
  <c r="AD69" i="1"/>
  <c r="AE69" i="1"/>
  <c r="AF69" i="1"/>
  <c r="AG69" i="1"/>
  <c r="AI69" i="1"/>
  <c r="AR68" i="1" s="1"/>
  <c r="AJ69" i="1"/>
  <c r="AS68" i="1" s="1"/>
  <c r="AN69" i="1"/>
  <c r="H69" i="1" s="1"/>
  <c r="AO69" i="1"/>
  <c r="I69" i="1" s="1"/>
  <c r="BC69" i="1"/>
  <c r="BH69" i="1"/>
  <c r="AB69" i="1" s="1"/>
  <c r="BI69" i="1"/>
  <c r="J70" i="1"/>
  <c r="L70" i="1"/>
  <c r="BE70" i="1" s="1"/>
  <c r="Y70" i="1"/>
  <c r="AC70" i="1"/>
  <c r="AD70" i="1"/>
  <c r="AE70" i="1"/>
  <c r="AF70" i="1"/>
  <c r="AG70" i="1"/>
  <c r="AI70" i="1"/>
  <c r="AJ70" i="1"/>
  <c r="AN70" i="1"/>
  <c r="BG70" i="1" s="1"/>
  <c r="AA70" i="1" s="1"/>
  <c r="AO70" i="1"/>
  <c r="BH70" i="1" s="1"/>
  <c r="AB70" i="1" s="1"/>
  <c r="BC70" i="1"/>
  <c r="BI70" i="1"/>
  <c r="J73" i="1"/>
  <c r="L73" i="1"/>
  <c r="BE73" i="1" s="1"/>
  <c r="Y73" i="1"/>
  <c r="AC73" i="1"/>
  <c r="AD73" i="1"/>
  <c r="AE73" i="1"/>
  <c r="AF73" i="1"/>
  <c r="AG73" i="1"/>
  <c r="AI73" i="1"/>
  <c r="AJ73" i="1"/>
  <c r="AN73" i="1"/>
  <c r="BG73" i="1" s="1"/>
  <c r="AA73" i="1" s="1"/>
  <c r="AO73" i="1"/>
  <c r="BH73" i="1" s="1"/>
  <c r="AB73" i="1" s="1"/>
  <c r="BC73" i="1"/>
  <c r="BI73" i="1"/>
  <c r="J76" i="1"/>
  <c r="AK76" i="1" s="1"/>
  <c r="L76" i="1"/>
  <c r="BE76" i="1" s="1"/>
  <c r="Y76" i="1"/>
  <c r="AC76" i="1"/>
  <c r="AD76" i="1"/>
  <c r="AE76" i="1"/>
  <c r="AF76" i="1"/>
  <c r="AG76" i="1"/>
  <c r="AI76" i="1"/>
  <c r="AJ76" i="1"/>
  <c r="AN76" i="1"/>
  <c r="BG76" i="1" s="1"/>
  <c r="AA76" i="1" s="1"/>
  <c r="AO76" i="1"/>
  <c r="AW76" i="1" s="1"/>
  <c r="AV76" i="1"/>
  <c r="BC76" i="1"/>
  <c r="BI76" i="1"/>
  <c r="J78" i="1"/>
  <c r="L78" i="1"/>
  <c r="BE78" i="1" s="1"/>
  <c r="Y78" i="1"/>
  <c r="AC78" i="1"/>
  <c r="AD78" i="1"/>
  <c r="AE78" i="1"/>
  <c r="AF78" i="1"/>
  <c r="AG78" i="1"/>
  <c r="AI78" i="1"/>
  <c r="AJ78" i="1"/>
  <c r="AN78" i="1"/>
  <c r="AV78" i="1" s="1"/>
  <c r="AO78" i="1"/>
  <c r="I78" i="1" s="1"/>
  <c r="BC78" i="1"/>
  <c r="BG78" i="1"/>
  <c r="AA78" i="1" s="1"/>
  <c r="BI78" i="1"/>
  <c r="J82" i="1"/>
  <c r="L82" i="1"/>
  <c r="BE82" i="1" s="1"/>
  <c r="Y82" i="1"/>
  <c r="AC82" i="1"/>
  <c r="AD82" i="1"/>
  <c r="AE82" i="1"/>
  <c r="AF82" i="1"/>
  <c r="AG82" i="1"/>
  <c r="AI82" i="1"/>
  <c r="AJ82" i="1"/>
  <c r="AN82" i="1"/>
  <c r="BG82" i="1" s="1"/>
  <c r="AA82" i="1" s="1"/>
  <c r="AO82" i="1"/>
  <c r="BH82" i="1" s="1"/>
  <c r="AB82" i="1" s="1"/>
  <c r="BC82" i="1"/>
  <c r="BI82" i="1"/>
  <c r="J84" i="1"/>
  <c r="L84" i="1"/>
  <c r="BE84" i="1" s="1"/>
  <c r="Y84" i="1"/>
  <c r="AC84" i="1"/>
  <c r="AD84" i="1"/>
  <c r="AE84" i="1"/>
  <c r="AF84" i="1"/>
  <c r="AG84" i="1"/>
  <c r="AI84" i="1"/>
  <c r="AJ84" i="1"/>
  <c r="AN84" i="1"/>
  <c r="BG84" i="1" s="1"/>
  <c r="AA84" i="1" s="1"/>
  <c r="AO84" i="1"/>
  <c r="AW84" i="1" s="1"/>
  <c r="AV84" i="1"/>
  <c r="BB84" i="1" s="1"/>
  <c r="BC84" i="1"/>
  <c r="BI84" i="1"/>
  <c r="J87" i="1"/>
  <c r="AK87" i="1" s="1"/>
  <c r="L87" i="1"/>
  <c r="BE87" i="1" s="1"/>
  <c r="Y87" i="1"/>
  <c r="AC87" i="1"/>
  <c r="AD87" i="1"/>
  <c r="AE87" i="1"/>
  <c r="AF87" i="1"/>
  <c r="AG87" i="1"/>
  <c r="AI87" i="1"/>
  <c r="AJ87" i="1"/>
  <c r="AS86" i="1" s="1"/>
  <c r="AN87" i="1"/>
  <c r="AV87" i="1" s="1"/>
  <c r="AO87" i="1"/>
  <c r="AW87" i="1" s="1"/>
  <c r="BC87" i="1"/>
  <c r="BI87" i="1"/>
  <c r="J90" i="1"/>
  <c r="L90" i="1"/>
  <c r="BE90" i="1" s="1"/>
  <c r="Y90" i="1"/>
  <c r="AC90" i="1"/>
  <c r="AD90" i="1"/>
  <c r="AE90" i="1"/>
  <c r="AF90" i="1"/>
  <c r="AG90" i="1"/>
  <c r="AI90" i="1"/>
  <c r="AJ90" i="1"/>
  <c r="AN90" i="1"/>
  <c r="BG90" i="1" s="1"/>
  <c r="AA90" i="1" s="1"/>
  <c r="AO90" i="1"/>
  <c r="BH90" i="1" s="1"/>
  <c r="AB90" i="1" s="1"/>
  <c r="AV90" i="1"/>
  <c r="BC90" i="1"/>
  <c r="BI90" i="1"/>
  <c r="J93" i="1"/>
  <c r="L93" i="1"/>
  <c r="L92" i="1" s="1"/>
  <c r="G19" i="2" s="1"/>
  <c r="Y93" i="1"/>
  <c r="AC93" i="1"/>
  <c r="AD93" i="1"/>
  <c r="AE93" i="1"/>
  <c r="AF93" i="1"/>
  <c r="AG93" i="1"/>
  <c r="AI93" i="1"/>
  <c r="AR92" i="1" s="1"/>
  <c r="AJ93" i="1"/>
  <c r="AS92" i="1" s="1"/>
  <c r="AN93" i="1"/>
  <c r="BG93" i="1" s="1"/>
  <c r="AA93" i="1" s="1"/>
  <c r="AO93" i="1"/>
  <c r="BH93" i="1" s="1"/>
  <c r="AB93" i="1" s="1"/>
  <c r="BC93" i="1"/>
  <c r="BI93" i="1"/>
  <c r="J95" i="1"/>
  <c r="L95" i="1"/>
  <c r="BE95" i="1" s="1"/>
  <c r="AA95" i="1"/>
  <c r="AB95" i="1"/>
  <c r="AC95" i="1"/>
  <c r="AD95" i="1"/>
  <c r="AE95" i="1"/>
  <c r="AF95" i="1"/>
  <c r="AG95" i="1"/>
  <c r="AI95" i="1"/>
  <c r="AR94" i="1" s="1"/>
  <c r="AJ95" i="1"/>
  <c r="AS94" i="1" s="1"/>
  <c r="AN95" i="1"/>
  <c r="BG95" i="1" s="1"/>
  <c r="AO95" i="1"/>
  <c r="BH95" i="1" s="1"/>
  <c r="BC95" i="1"/>
  <c r="BI95" i="1"/>
  <c r="Y95" i="1" s="1"/>
  <c r="J98" i="1"/>
  <c r="L98" i="1"/>
  <c r="BE98" i="1" s="1"/>
  <c r="AA98" i="1"/>
  <c r="AB98" i="1"/>
  <c r="AC98" i="1"/>
  <c r="AD98" i="1"/>
  <c r="AE98" i="1"/>
  <c r="AF98" i="1"/>
  <c r="AG98" i="1"/>
  <c r="AI98" i="1"/>
  <c r="AJ98" i="1"/>
  <c r="AN98" i="1"/>
  <c r="BG98" i="1" s="1"/>
  <c r="AO98" i="1"/>
  <c r="BH98" i="1" s="1"/>
  <c r="BC98" i="1"/>
  <c r="BI98" i="1"/>
  <c r="Y98" i="1" s="1"/>
  <c r="H100" i="1"/>
  <c r="J100" i="1"/>
  <c r="AK100" i="1" s="1"/>
  <c r="L100" i="1"/>
  <c r="BE100" i="1" s="1"/>
  <c r="AA100" i="1"/>
  <c r="AB100" i="1"/>
  <c r="AC100" i="1"/>
  <c r="AD100" i="1"/>
  <c r="AE100" i="1"/>
  <c r="AF100" i="1"/>
  <c r="AG100" i="1"/>
  <c r="AI100" i="1"/>
  <c r="AJ100" i="1"/>
  <c r="AN100" i="1"/>
  <c r="BG100" i="1" s="1"/>
  <c r="AO100" i="1"/>
  <c r="AW100" i="1" s="1"/>
  <c r="AV100" i="1"/>
  <c r="BC100" i="1"/>
  <c r="BI100" i="1"/>
  <c r="Y100" i="1" s="1"/>
  <c r="J103" i="1"/>
  <c r="L103" i="1"/>
  <c r="BE103" i="1" s="1"/>
  <c r="AA103" i="1"/>
  <c r="AB103" i="1"/>
  <c r="AC103" i="1"/>
  <c r="AD103" i="1"/>
  <c r="AE103" i="1"/>
  <c r="AF103" i="1"/>
  <c r="AG103" i="1"/>
  <c r="AI103" i="1"/>
  <c r="AJ103" i="1"/>
  <c r="AN103" i="1"/>
  <c r="AV103" i="1" s="1"/>
  <c r="AO103" i="1"/>
  <c r="I103" i="1" s="1"/>
  <c r="BC103" i="1"/>
  <c r="BH103" i="1"/>
  <c r="BI103" i="1"/>
  <c r="Y103" i="1" s="1"/>
  <c r="J106" i="1"/>
  <c r="L106" i="1"/>
  <c r="Y106" i="1"/>
  <c r="AA106" i="1"/>
  <c r="AB106" i="1"/>
  <c r="AC106" i="1"/>
  <c r="AD106" i="1"/>
  <c r="AE106" i="1"/>
  <c r="AF106" i="1"/>
  <c r="AI106" i="1"/>
  <c r="AJ106" i="1"/>
  <c r="AN106" i="1"/>
  <c r="H106" i="1" s="1"/>
  <c r="AO106" i="1"/>
  <c r="I106" i="1" s="1"/>
  <c r="BC106" i="1"/>
  <c r="BI106" i="1"/>
  <c r="AG106" i="1" s="1"/>
  <c r="J109" i="1"/>
  <c r="L109" i="1"/>
  <c r="BE109" i="1" s="1"/>
  <c r="Y109" i="1"/>
  <c r="AA109" i="1"/>
  <c r="AB109" i="1"/>
  <c r="AC109" i="1"/>
  <c r="AD109" i="1"/>
  <c r="AE109" i="1"/>
  <c r="AF109" i="1"/>
  <c r="AI109" i="1"/>
  <c r="AJ109" i="1"/>
  <c r="AN109" i="1"/>
  <c r="BG109" i="1" s="1"/>
  <c r="AO109" i="1"/>
  <c r="BH109" i="1" s="1"/>
  <c r="BC109" i="1"/>
  <c r="BI109" i="1"/>
  <c r="AG109" i="1" s="1"/>
  <c r="J112" i="1"/>
  <c r="L112" i="1"/>
  <c r="BE112" i="1" s="1"/>
  <c r="Y112" i="1"/>
  <c r="AA112" i="1"/>
  <c r="AB112" i="1"/>
  <c r="AC112" i="1"/>
  <c r="AD112" i="1"/>
  <c r="AE112" i="1"/>
  <c r="AF112" i="1"/>
  <c r="AI112" i="1"/>
  <c r="AJ112" i="1"/>
  <c r="AN112" i="1"/>
  <c r="H112" i="1" s="1"/>
  <c r="AO112" i="1"/>
  <c r="BH112" i="1" s="1"/>
  <c r="AV112" i="1"/>
  <c r="BC112" i="1"/>
  <c r="BI112" i="1"/>
  <c r="AG112" i="1" s="1"/>
  <c r="J115" i="1"/>
  <c r="L115" i="1"/>
  <c r="BE115" i="1" s="1"/>
  <c r="Y115" i="1"/>
  <c r="AA115" i="1"/>
  <c r="AB115" i="1"/>
  <c r="AC115" i="1"/>
  <c r="AD115" i="1"/>
  <c r="AE115" i="1"/>
  <c r="AF115" i="1"/>
  <c r="AI115" i="1"/>
  <c r="AJ115" i="1"/>
  <c r="AN115" i="1"/>
  <c r="AV115" i="1" s="1"/>
  <c r="AO115" i="1"/>
  <c r="AW115" i="1" s="1"/>
  <c r="BC115" i="1"/>
  <c r="BI115" i="1"/>
  <c r="AG115" i="1" s="1"/>
  <c r="J118" i="1"/>
  <c r="AK118" i="1" s="1"/>
  <c r="L118" i="1"/>
  <c r="BE118" i="1" s="1"/>
  <c r="Y118" i="1"/>
  <c r="AA118" i="1"/>
  <c r="AB118" i="1"/>
  <c r="AC118" i="1"/>
  <c r="AD118" i="1"/>
  <c r="AE118" i="1"/>
  <c r="AF118" i="1"/>
  <c r="AI118" i="1"/>
  <c r="AJ118" i="1"/>
  <c r="AN118" i="1"/>
  <c r="BG118" i="1" s="1"/>
  <c r="AO118" i="1"/>
  <c r="BH118" i="1" s="1"/>
  <c r="AV118" i="1"/>
  <c r="BC118" i="1"/>
  <c r="BI118" i="1"/>
  <c r="AG118" i="1" s="1"/>
  <c r="B2" i="2"/>
  <c r="E2" i="2"/>
  <c r="B4" i="2"/>
  <c r="E4" i="2"/>
  <c r="B6" i="2"/>
  <c r="E6" i="2"/>
  <c r="B8" i="2"/>
  <c r="E8" i="2"/>
  <c r="H27" i="1" l="1"/>
  <c r="H29" i="1"/>
  <c r="I76" i="1"/>
  <c r="H32" i="1"/>
  <c r="BG25" i="1"/>
  <c r="AA25" i="1" s="1"/>
  <c r="AR86" i="1"/>
  <c r="H78" i="1"/>
  <c r="H76" i="1"/>
  <c r="BH27" i="1"/>
  <c r="AB27" i="1" s="1"/>
  <c r="BG27" i="1"/>
  <c r="AA27" i="1" s="1"/>
  <c r="AV93" i="1"/>
  <c r="I34" i="1"/>
  <c r="AV29" i="1"/>
  <c r="AW118" i="1"/>
  <c r="AU118" i="1" s="1"/>
  <c r="I100" i="1"/>
  <c r="BH78" i="1"/>
  <c r="AB78" i="1" s="1"/>
  <c r="AU100" i="1"/>
  <c r="H53" i="1"/>
  <c r="AS97" i="1"/>
  <c r="BG69" i="1"/>
  <c r="AA69" i="1" s="1"/>
  <c r="I39" i="1"/>
  <c r="H39" i="1"/>
  <c r="H82" i="1"/>
  <c r="I112" i="1"/>
  <c r="BG106" i="1"/>
  <c r="BG36" i="1"/>
  <c r="AA36" i="1" s="1"/>
  <c r="H103" i="1"/>
  <c r="BH106" i="1"/>
  <c r="BG103" i="1"/>
  <c r="BG41" i="1"/>
  <c r="AA41" i="1" s="1"/>
  <c r="AV82" i="1"/>
  <c r="AK60" i="1"/>
  <c r="AT59" i="1" s="1"/>
  <c r="AV34" i="1"/>
  <c r="AU34" i="1" s="1"/>
  <c r="L105" i="1"/>
  <c r="G22" i="2" s="1"/>
  <c r="J59" i="1"/>
  <c r="F15" i="2" s="1"/>
  <c r="I15" i="2" s="1"/>
  <c r="H109" i="1"/>
  <c r="H43" i="1"/>
  <c r="H36" i="1"/>
  <c r="BH41" i="1"/>
  <c r="AB41" i="1" s="1"/>
  <c r="BH36" i="1"/>
  <c r="AB36" i="1" s="1"/>
  <c r="I118" i="1"/>
  <c r="AW112" i="1"/>
  <c r="AU112" i="1" s="1"/>
  <c r="AW106" i="1"/>
  <c r="AS59" i="1"/>
  <c r="AW41" i="1"/>
  <c r="AW36" i="1"/>
  <c r="AU36" i="1" s="1"/>
  <c r="J46" i="1"/>
  <c r="F13" i="2" s="1"/>
  <c r="I13" i="2" s="1"/>
  <c r="L68" i="1"/>
  <c r="G16" i="2" s="1"/>
  <c r="AK70" i="1"/>
  <c r="AK13" i="1"/>
  <c r="J49" i="1"/>
  <c r="F14" i="2" s="1"/>
  <c r="I14" i="2" s="1"/>
  <c r="I65" i="1"/>
  <c r="I93" i="1"/>
  <c r="I92" i="1" s="1"/>
  <c r="E19" i="2" s="1"/>
  <c r="H65" i="1"/>
  <c r="BG60" i="1"/>
  <c r="AA60" i="1" s="1"/>
  <c r="BH56" i="1"/>
  <c r="AB56" i="1" s="1"/>
  <c r="AK50" i="1"/>
  <c r="AK47" i="1"/>
  <c r="AT46" i="1" s="1"/>
  <c r="AK115" i="1"/>
  <c r="AK109" i="1"/>
  <c r="L46" i="1"/>
  <c r="G13" i="2" s="1"/>
  <c r="AK82" i="1"/>
  <c r="BH60" i="1"/>
  <c r="AB60" i="1" s="1"/>
  <c r="H95" i="1"/>
  <c r="H94" i="1" s="1"/>
  <c r="D20" i="2" s="1"/>
  <c r="H93" i="1"/>
  <c r="H92" i="1" s="1"/>
  <c r="D19" i="2" s="1"/>
  <c r="AS72" i="1"/>
  <c r="BG56" i="1"/>
  <c r="AA56" i="1" s="1"/>
  <c r="AS49" i="1"/>
  <c r="AS12" i="1"/>
  <c r="AR12" i="1"/>
  <c r="L97" i="1"/>
  <c r="G21" i="2" s="1"/>
  <c r="AK69" i="1"/>
  <c r="AK78" i="1"/>
  <c r="AK73" i="1"/>
  <c r="AR59" i="1"/>
  <c r="AK56" i="1"/>
  <c r="AK43" i="1"/>
  <c r="AK32" i="1"/>
  <c r="BB100" i="1"/>
  <c r="L94" i="1"/>
  <c r="G20" i="2" s="1"/>
  <c r="AS105" i="1"/>
  <c r="J94" i="1"/>
  <c r="F20" i="2" s="1"/>
  <c r="I20" i="2" s="1"/>
  <c r="AR72" i="1"/>
  <c r="AK41" i="1"/>
  <c r="AK27" i="1"/>
  <c r="J12" i="1"/>
  <c r="F11" i="2" s="1"/>
  <c r="I11" i="2" s="1"/>
  <c r="AK95" i="1"/>
  <c r="AT94" i="1" s="1"/>
  <c r="BE93" i="1"/>
  <c r="BH13" i="1"/>
  <c r="AB13" i="1" s="1"/>
  <c r="AR97" i="1"/>
  <c r="I87" i="1"/>
  <c r="AK21" i="1"/>
  <c r="BH115" i="1"/>
  <c r="L86" i="1"/>
  <c r="G18" i="2" s="1"/>
  <c r="H84" i="1"/>
  <c r="BG115" i="1"/>
  <c r="BH87" i="1"/>
  <c r="AB87" i="1" s="1"/>
  <c r="BG87" i="1"/>
  <c r="AA87" i="1" s="1"/>
  <c r="L72" i="1"/>
  <c r="G17" i="2" s="1"/>
  <c r="BE106" i="1"/>
  <c r="BB65" i="1"/>
  <c r="AR105" i="1"/>
  <c r="BB76" i="1"/>
  <c r="AK29" i="1"/>
  <c r="AK106" i="1"/>
  <c r="AK36" i="1"/>
  <c r="AS31" i="1"/>
  <c r="L12" i="1"/>
  <c r="G11" i="2" s="1"/>
  <c r="AK103" i="1"/>
  <c r="AK98" i="1"/>
  <c r="AT97" i="1" s="1"/>
  <c r="AK23" i="1"/>
  <c r="I90" i="1"/>
  <c r="BG13" i="1"/>
  <c r="AA13" i="1" s="1"/>
  <c r="I115" i="1"/>
  <c r="J68" i="1"/>
  <c r="F16" i="2" s="1"/>
  <c r="I16" i="2" s="1"/>
  <c r="BH84" i="1"/>
  <c r="AB84" i="1" s="1"/>
  <c r="BG112" i="1"/>
  <c r="AK93" i="1"/>
  <c r="AT92" i="1" s="1"/>
  <c r="AW90" i="1"/>
  <c r="AU90" i="1" s="1"/>
  <c r="I82" i="1"/>
  <c r="H70" i="1"/>
  <c r="H68" i="1" s="1"/>
  <c r="D16" i="2" s="1"/>
  <c r="I53" i="1"/>
  <c r="AK15" i="1"/>
  <c r="AW13" i="1"/>
  <c r="AU13" i="1" s="1"/>
  <c r="AR31" i="1"/>
  <c r="L31" i="1"/>
  <c r="G12" i="2" s="1"/>
  <c r="C19" i="5"/>
  <c r="C18" i="5"/>
  <c r="C17" i="5"/>
  <c r="C16" i="5"/>
  <c r="C21" i="5"/>
  <c r="AU115" i="1"/>
  <c r="BB115" i="1"/>
  <c r="H12" i="1"/>
  <c r="D11" i="2" s="1"/>
  <c r="AU39" i="1"/>
  <c r="BB39" i="1"/>
  <c r="AU76" i="1"/>
  <c r="BB17" i="1"/>
  <c r="AU87" i="1"/>
  <c r="BB87" i="1"/>
  <c r="C20" i="5"/>
  <c r="AU53" i="1"/>
  <c r="BB53" i="1"/>
  <c r="H115" i="1"/>
  <c r="AW98" i="1"/>
  <c r="H87" i="1"/>
  <c r="AU84" i="1"/>
  <c r="I84" i="1"/>
  <c r="AW73" i="1"/>
  <c r="AW62" i="1"/>
  <c r="AV50" i="1"/>
  <c r="AW23" i="1"/>
  <c r="BB23" i="1" s="1"/>
  <c r="AU17" i="1"/>
  <c r="AW109" i="1"/>
  <c r="BH100" i="1"/>
  <c r="AV98" i="1"/>
  <c r="AW95" i="1"/>
  <c r="BH76" i="1"/>
  <c r="AB76" i="1" s="1"/>
  <c r="AV73" i="1"/>
  <c r="AW70" i="1"/>
  <c r="BH65" i="1"/>
  <c r="AB65" i="1" s="1"/>
  <c r="AV62" i="1"/>
  <c r="L59" i="1"/>
  <c r="G15" i="2" s="1"/>
  <c r="BG53" i="1"/>
  <c r="AA53" i="1" s="1"/>
  <c r="I50" i="1"/>
  <c r="AV47" i="1"/>
  <c r="AW43" i="1"/>
  <c r="BG39" i="1"/>
  <c r="AA39" i="1" s="1"/>
  <c r="AW32" i="1"/>
  <c r="BH25" i="1"/>
  <c r="AB25" i="1" s="1"/>
  <c r="AV109" i="1"/>
  <c r="I98" i="1"/>
  <c r="AV95" i="1"/>
  <c r="AW93" i="1"/>
  <c r="AU93" i="1" s="1"/>
  <c r="AW82" i="1"/>
  <c r="I73" i="1"/>
  <c r="AV70" i="1"/>
  <c r="I62" i="1"/>
  <c r="H50" i="1"/>
  <c r="I47" i="1"/>
  <c r="I46" i="1" s="1"/>
  <c r="E13" i="2" s="1"/>
  <c r="AV43" i="1"/>
  <c r="AV32" i="1"/>
  <c r="AW29" i="1"/>
  <c r="I23" i="1"/>
  <c r="C28" i="5"/>
  <c r="F28" i="5" s="1"/>
  <c r="I109" i="1"/>
  <c r="J105" i="1"/>
  <c r="F22" i="2" s="1"/>
  <c r="I22" i="2" s="1"/>
  <c r="H98" i="1"/>
  <c r="I95" i="1"/>
  <c r="I94" i="1" s="1"/>
  <c r="E20" i="2" s="1"/>
  <c r="AK84" i="1"/>
  <c r="H73" i="1"/>
  <c r="I70" i="1"/>
  <c r="I68" i="1" s="1"/>
  <c r="E16" i="2" s="1"/>
  <c r="H62" i="1"/>
  <c r="H47" i="1"/>
  <c r="H46" i="1" s="1"/>
  <c r="D13" i="2" s="1"/>
  <c r="I43" i="1"/>
  <c r="I32" i="1"/>
  <c r="AK17" i="1"/>
  <c r="C27" i="5"/>
  <c r="AW19" i="1"/>
  <c r="BB19" i="1" s="1"/>
  <c r="BG15" i="1"/>
  <c r="AA15" i="1" s="1"/>
  <c r="J86" i="1"/>
  <c r="F18" i="2" s="1"/>
  <c r="I18" i="2" s="1"/>
  <c r="H118" i="1"/>
  <c r="H90" i="1"/>
  <c r="L49" i="1"/>
  <c r="G14" i="2" s="1"/>
  <c r="H34" i="1"/>
  <c r="AW25" i="1"/>
  <c r="BB25" i="1" s="1"/>
  <c r="I19" i="1"/>
  <c r="J97" i="1"/>
  <c r="F21" i="2" s="1"/>
  <c r="I21" i="2" s="1"/>
  <c r="AK90" i="1"/>
  <c r="AT86" i="1" s="1"/>
  <c r="J72" i="1"/>
  <c r="F17" i="2" s="1"/>
  <c r="I17" i="2" s="1"/>
  <c r="AK34" i="1"/>
  <c r="J31" i="1"/>
  <c r="F12" i="2" s="1"/>
  <c r="I12" i="2" s="1"/>
  <c r="BH17" i="1"/>
  <c r="AB17" i="1" s="1"/>
  <c r="AV15" i="1"/>
  <c r="J92" i="1"/>
  <c r="F19" i="2" s="1"/>
  <c r="I19" i="2" s="1"/>
  <c r="AW60" i="1"/>
  <c r="AK53" i="1"/>
  <c r="AW21" i="1"/>
  <c r="BB21" i="1" s="1"/>
  <c r="AW69" i="1"/>
  <c r="AV60" i="1"/>
  <c r="AW56" i="1"/>
  <c r="AK25" i="1"/>
  <c r="AK112" i="1"/>
  <c r="AV106" i="1"/>
  <c r="AW103" i="1"/>
  <c r="AU103" i="1" s="1"/>
  <c r="AW78" i="1"/>
  <c r="AU78" i="1" s="1"/>
  <c r="AV69" i="1"/>
  <c r="AV56" i="1"/>
  <c r="AV41" i="1"/>
  <c r="AW27" i="1"/>
  <c r="BB27" i="1" s="1"/>
  <c r="I97" i="1" l="1"/>
  <c r="E21" i="2" s="1"/>
  <c r="BB118" i="1"/>
  <c r="AU29" i="1"/>
  <c r="H49" i="1"/>
  <c r="D14" i="2" s="1"/>
  <c r="BB112" i="1"/>
  <c r="BB34" i="1"/>
  <c r="I59" i="1"/>
  <c r="E15" i="2" s="1"/>
  <c r="AU82" i="1"/>
  <c r="BB36" i="1"/>
  <c r="I86" i="1"/>
  <c r="E18" i="2" s="1"/>
  <c r="H97" i="1"/>
  <c r="D21" i="2" s="1"/>
  <c r="H59" i="1"/>
  <c r="D15" i="2" s="1"/>
  <c r="H31" i="1"/>
  <c r="D12" i="2" s="1"/>
  <c r="BB13" i="1"/>
  <c r="I105" i="1"/>
  <c r="E22" i="2" s="1"/>
  <c r="AT49" i="1"/>
  <c r="AT68" i="1"/>
  <c r="AT72" i="1"/>
  <c r="H86" i="1"/>
  <c r="D18" i="2" s="1"/>
  <c r="BB82" i="1"/>
  <c r="BB90" i="1"/>
  <c r="H105" i="1"/>
  <c r="D22" i="2" s="1"/>
  <c r="C14" i="5"/>
  <c r="C15" i="5"/>
  <c r="AT31" i="1"/>
  <c r="C29" i="5"/>
  <c r="F29" i="5" s="1"/>
  <c r="I31" i="1"/>
  <c r="E12" i="2" s="1"/>
  <c r="BB103" i="1"/>
  <c r="AT105" i="1"/>
  <c r="AU27" i="1"/>
  <c r="BB78" i="1"/>
  <c r="I12" i="1"/>
  <c r="E11" i="2" s="1"/>
  <c r="I49" i="1"/>
  <c r="E14" i="2" s="1"/>
  <c r="H72" i="1"/>
  <c r="D17" i="2" s="1"/>
  <c r="AU23" i="1"/>
  <c r="AT12" i="1"/>
  <c r="BB73" i="1"/>
  <c r="AU73" i="1"/>
  <c r="AU19" i="1"/>
  <c r="BB98" i="1"/>
  <c r="AU98" i="1"/>
  <c r="AU43" i="1"/>
  <c r="BB43" i="1"/>
  <c r="AU56" i="1"/>
  <c r="BB56" i="1"/>
  <c r="AU60" i="1"/>
  <c r="BB60" i="1"/>
  <c r="AU109" i="1"/>
  <c r="BB109" i="1"/>
  <c r="AU41" i="1"/>
  <c r="BB41" i="1"/>
  <c r="AU32" i="1"/>
  <c r="BB32" i="1"/>
  <c r="F23" i="2"/>
  <c r="AU69" i="1"/>
  <c r="BB69" i="1"/>
  <c r="J121" i="1"/>
  <c r="BB47" i="1"/>
  <c r="AU47" i="1"/>
  <c r="AU21" i="1"/>
  <c r="AU15" i="1"/>
  <c r="BB15" i="1"/>
  <c r="AU70" i="1"/>
  <c r="BB70" i="1"/>
  <c r="AU106" i="1"/>
  <c r="BB106" i="1"/>
  <c r="I72" i="1"/>
  <c r="E17" i="2" s="1"/>
  <c r="BB50" i="1"/>
  <c r="AU50" i="1"/>
  <c r="AU25" i="1"/>
  <c r="BB93" i="1"/>
  <c r="AU95" i="1"/>
  <c r="BB95" i="1"/>
  <c r="BB29" i="1"/>
  <c r="BB62" i="1"/>
  <c r="AU62" i="1"/>
  <c r="C22" i="5" l="1"/>
  <c r="I28" i="5"/>
  <c r="I29" i="5" s="1"/>
</calcChain>
</file>

<file path=xl/sharedStrings.xml><?xml version="1.0" encoding="utf-8"?>
<sst xmlns="http://schemas.openxmlformats.org/spreadsheetml/2006/main" count="702" uniqueCount="312">
  <si>
    <t>Stavební rozpočet</t>
  </si>
  <si>
    <t>Název stavby:</t>
  </si>
  <si>
    <t>Druh stavby:</t>
  </si>
  <si>
    <t>Lokalita:</t>
  </si>
  <si>
    <t>JKSO:</t>
  </si>
  <si>
    <t>Č</t>
  </si>
  <si>
    <t xml:space="preserve">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</si>
  <si>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</si>
  <si>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</si>
  <si>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</si>
  <si>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</si>
  <si>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</si>
  <si>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</si>
  <si>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</si>
  <si>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</si>
  <si>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</si>
  <si>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</si>
  <si>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</si>
  <si>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</si>
  <si>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</si>
  <si>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</si>
  <si>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</si>
  <si>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</si>
  <si>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</si>
  <si>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</si>
  <si>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</si>
  <si>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</si>
  <si>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</si>
  <si>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</si>
  <si>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</si>
  <si>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</si>
  <si>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</si>
  <si>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</si>
  <si>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</si>
  <si>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</si>
  <si>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</si>
  <si>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</si>
  <si>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</si>
  <si>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</si>
  <si>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</si>
  <si>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</si>
  <si>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</si>
  <si>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</si>
  <si>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</si>
  <si>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</si>
  <si>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</si>
  <si>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</si>
  <si>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</si>
  <si>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44</t>
  </si>
  <si>
    <t>Poznámka:</t>
  </si>
  <si>
    <t>Náklady na veškeré výkony a materiály jsou obsaženy v příslušných položkách</t>
  </si>
  <si>
    <t>Objekt</t>
  </si>
  <si>
    <t>Kód</t>
  </si>
  <si>
    <t>010VD</t>
  </si>
  <si>
    <t>100 00-01</t>
  </si>
  <si>
    <t>113106121R00</t>
  </si>
  <si>
    <t>Varianta:</t>
  </si>
  <si>
    <t>113108405R00</t>
  </si>
  <si>
    <t>113109325R00</t>
  </si>
  <si>
    <t>113153110R00</t>
  </si>
  <si>
    <t>113202111R00</t>
  </si>
  <si>
    <t>113203111R00</t>
  </si>
  <si>
    <t>181101111R00</t>
  </si>
  <si>
    <t>56</t>
  </si>
  <si>
    <t>564721111R00</t>
  </si>
  <si>
    <t>564831111RT2</t>
  </si>
  <si>
    <t>564851111RT4</t>
  </si>
  <si>
    <t>57</t>
  </si>
  <si>
    <t>573231110R00</t>
  </si>
  <si>
    <t>577000001RA0</t>
  </si>
  <si>
    <t>577141112RT3</t>
  </si>
  <si>
    <t>59</t>
  </si>
  <si>
    <t>596291111R00</t>
  </si>
  <si>
    <t>596715021R00</t>
  </si>
  <si>
    <t>91</t>
  </si>
  <si>
    <t>917762111R00</t>
  </si>
  <si>
    <t>917862111R00</t>
  </si>
  <si>
    <t>919726212R00</t>
  </si>
  <si>
    <t>919735112R00</t>
  </si>
  <si>
    <t>919794441R00</t>
  </si>
  <si>
    <t>93</t>
  </si>
  <si>
    <t>938902122R00</t>
  </si>
  <si>
    <t>938909611R00</t>
  </si>
  <si>
    <t>97</t>
  </si>
  <si>
    <t>979054441R00</t>
  </si>
  <si>
    <t>H22</t>
  </si>
  <si>
    <t>998225111R00</t>
  </si>
  <si>
    <t>S</t>
  </si>
  <si>
    <t>979081111R00</t>
  </si>
  <si>
    <t>979081121R00</t>
  </si>
  <si>
    <t>979990103R00</t>
  </si>
  <si>
    <t>59217472</t>
  </si>
  <si>
    <t>59217476</t>
  </si>
  <si>
    <t>59217480</t>
  </si>
  <si>
    <t>59217481</t>
  </si>
  <si>
    <t>59245264</t>
  </si>
  <si>
    <t>Rekonstrukce chodníku ul. Zimní a Jarní, Jihlava</t>
  </si>
  <si>
    <t>Jihlava</t>
  </si>
  <si>
    <t>Zkrácený popis / Varianta</t>
  </si>
  <si>
    <t>Rozměry</t>
  </si>
  <si>
    <t>Vedlejší náklady</t>
  </si>
  <si>
    <t>Dopravně inženýrská opatření</t>
  </si>
  <si>
    <t>Dopravně inženýrská opatření po dobu stavby, prováděná v souladu s pokyny Policie ČR - dopravního inspektorátu, dle pokynů příslušného odboru dopravy a správce komunikace - Služby města Jihlavy a dle pokynů dalších příslušných orgánů._x000D_
Včetně veškerého přechodného dopravního značení, vč. instalace a zajištění servisu značení po celou dobu trvání stavby._x000D_
Zajištění prací pro "Stanovení přechodné úpravy silničního provozu na komunikacích dle §77 zákona č. 361/2000 Sb., O provozu na pozemních komunikacích."</t>
  </si>
  <si>
    <t>Náklady na vytýčení stávajících inž. sítí</t>
  </si>
  <si>
    <t>Polohové a hloubkové vytyčení stávajících sítí před zahájením zemních prací pro každou stavbu zvlášť,_x000D_
( opakované vytyčení v případě poškození, ztráty, znehodnocení či nejasnosti vytyčovacích znaků v terénu_x000D_
staveniště ) sítě a zařízení, včetně protokolárního předání vytyčení</t>
  </si>
  <si>
    <t>Náklady na zajištění dopravy</t>
  </si>
  <si>
    <t>Náklady na projednání návrhu dočasného dopravního značení /MMJ, odbor dopravy, Policie ČR, DI/, zřízení, přemisťování a zrušení dočasného dopravního značení pro jednotlivé stavby ve vazbě na harmonogram prací.</t>
  </si>
  <si>
    <t>Náklady na informační cedule</t>
  </si>
  <si>
    <t xml:space="preserve">Náklady na pořízení informačních, zákazových a příkazových cedulí pro zajištění označení stavby a příkazových cedulí pro vymezení pohybu chodců či vozidel po staveništi (osazení dle potřeby stavby), _x000D_
náklady na osazení, přemístění a zrušení cedulí_x000D_
</t>
  </si>
  <si>
    <t>Náklady na oplocení, ohrazení výkopů</t>
  </si>
  <si>
    <t>Náklady na zřízení, údržbu, přemístění a zrušení oplocení či ohrazení výkopových rýh a jam, případně jejich jiné vyznačení v terénu po dobu jejich existence s odkazem na předpisy BOZP a součinnost určeného koordinátora BOZP stavby</t>
  </si>
  <si>
    <t>Náklady na projednání záborů</t>
  </si>
  <si>
    <t>Náklady na projednání a zajištění záborů všech ploch potřebných k realizaci stavby, včetně případných poplatků za pronájem ploch.</t>
  </si>
  <si>
    <t>Náklady na zařízení staveniště</t>
  </si>
  <si>
    <t xml:space="preserve">Náklady na projednání a zajištění míst GZS (zázemí zhotovitele, skládky materiálů k zabudování do stavby, skládky sypkých materiálů). Vše rozsahu souvisejících nákladů a případných poplatků za užívání či nájem ploch. Zařízení staveniště pro stavbu._x000D_
</t>
  </si>
  <si>
    <t>Náklady na zajištění skládek</t>
  </si>
  <si>
    <t>Náklady na projednání a zajištění míst mezideponií a deponií vytěžených hmot, tzn. projednání uložení vytěžených hmot na dočasné skládky po dobu stavby, respektive trvalé skládky za účelem trvalého uložení vytěžených hmot s vlastníky pozemků či skládek. Před zahájením stavby bude doložen investorovi smluvní vztah s vlastníkem pozemků na nichž budou zeminy či vytěžené hmoty ukládány.</t>
  </si>
  <si>
    <t>Náklady na vypracování harmonogramu</t>
  </si>
  <si>
    <t>Náklady na vypracování harmonogramu stavebních prací pro stavbu s jeho průběžnou aktualizací, projednání a odsouhlasení s investorem, provozovatelem, DOS a koordinátorem BOZP.</t>
  </si>
  <si>
    <t>Přípravné a přidružené práce</t>
  </si>
  <si>
    <t>Rozebrání dlažeb z betonových dlaždic na sucho</t>
  </si>
  <si>
    <t>Odstranění asfaltové vrstvy pl.nad 50 m2, tl.3 cm</t>
  </si>
  <si>
    <t>Odstranění podkladu pl.do 50 m2, bet.prostý tl.25 cm</t>
  </si>
  <si>
    <t>Fréz.beton.krytu pl.do 500 m2,pruh do 75 cm,tl.2cm</t>
  </si>
  <si>
    <t>Vytrhání obrub obrubníků silničních</t>
  </si>
  <si>
    <t>Vytrhání obrub z dlažebních kostek</t>
  </si>
  <si>
    <t>bet. přídlažba</t>
  </si>
  <si>
    <t>Povrchové úpravy terénu</t>
  </si>
  <si>
    <t>Úprava pláně v zářezech se zhutněním - ručně</t>
  </si>
  <si>
    <t>Podkladní vrstvy komunikací a zpevněných ploch</t>
  </si>
  <si>
    <t>Podklad z kameniva drceného vel. 0-32 mm,tl. 8 cm</t>
  </si>
  <si>
    <t>podklad pod obrubníky</t>
  </si>
  <si>
    <t>Podklad ze štěrkodrti po zhutnění tloušťky 10 cm</t>
  </si>
  <si>
    <t>štěrkodrť frakce 0-32 mm</t>
  </si>
  <si>
    <t>Podklad ze štěrkodrti po zhutnění tloušťky 15 cm</t>
  </si>
  <si>
    <t>štěrkodrť frakce 0-63 mm</t>
  </si>
  <si>
    <t>Kryty pozemních komunikací, letišť a ploch z kameniva nebo živičné</t>
  </si>
  <si>
    <t>Postřik živičný spojovací modif. z emulze 0,3-0,5 kg/m2</t>
  </si>
  <si>
    <t>Komunikace s asfaltobeton. krytem D1-N-1-III-PII</t>
  </si>
  <si>
    <t>doplnění vozovky po vybourané přídlažbě</t>
  </si>
  <si>
    <t>Beton asfalt. ACO 11+, do 3 m, tl.5 cm</t>
  </si>
  <si>
    <t>plochy 101-200 m2</t>
  </si>
  <si>
    <t>Kryty pozemních komunikací, letišť a ploch dlážděných (předlažby)</t>
  </si>
  <si>
    <t>Řezání zámkové dlažby tl. 60 mm</t>
  </si>
  <si>
    <t>Kladení vodicí linie z dlažby tl.6 cm, drť tl.4 cm</t>
  </si>
  <si>
    <t>Doplňující konstrukce a práce na pozemních komunikacích a zpevněných plochách</t>
  </si>
  <si>
    <t>Osazení ležat. obrub. bet. s opěrou,lože z C 16/20</t>
  </si>
  <si>
    <t>nájezdový obrubník</t>
  </si>
  <si>
    <t>Osazení stojat. obrub.bet. s opěrou,lože z C 16/20</t>
  </si>
  <si>
    <t>Těsnění spár krytu vozovky, chodníku zálivkou za studena</t>
  </si>
  <si>
    <t>trvale pružný asfaltový tmel nebo páska</t>
  </si>
  <si>
    <t>podél řezaných spár v asfaltu</t>
  </si>
  <si>
    <t>Řezání stávajícího živičného krytu tl. 5 - 10 cm</t>
  </si>
  <si>
    <t>Úprava ploch kolem poklopů v živ.krytech do 2 m2</t>
  </si>
  <si>
    <t>Různé dokončovací konstrukce a práce inženýrských staveb</t>
  </si>
  <si>
    <t>Čištění ploch betonových konstrukcí tlakovou vodou</t>
  </si>
  <si>
    <t>očištění betonového podkladu chodníků po vyfrézování vrstvy tl. 2 cm</t>
  </si>
  <si>
    <t>Odstranění nánosu na krajnicích tl. do 10 cm</t>
  </si>
  <si>
    <t>očištění obrubníků od zeminy u zel. ploch</t>
  </si>
  <si>
    <t>Prorážení otvorů a ostatní bourací práce</t>
  </si>
  <si>
    <t>Očištění vybour. dlaždic s výplní kamen. těženým</t>
  </si>
  <si>
    <t>Komunikace pozemní a letiště</t>
  </si>
  <si>
    <t>Přesun hmot, pozemní komunikace, kryt živičný</t>
  </si>
  <si>
    <t>Přesuny sutí</t>
  </si>
  <si>
    <t>Odvoz suti a vybour. hmot na skládku do 1 km</t>
  </si>
  <si>
    <t>Příplatek k odvozu za každý další 1 km</t>
  </si>
  <si>
    <t>odvoz suti do 10 km - k recyklaci</t>
  </si>
  <si>
    <t>Poplatek za skládku suti - beton, asfalt, štěrk do 30x30 cm</t>
  </si>
  <si>
    <t>Položka je určena pro suť o velikosti kusu do 30x30 cm (technologický materiál určený k recyklaci).</t>
  </si>
  <si>
    <t>Ostatní materiál</t>
  </si>
  <si>
    <t>;ztratné 2%; 0,14   </t>
  </si>
  <si>
    <t>Obrubník silniční nájezdový 1000/150/150 šedý</t>
  </si>
  <si>
    <t>;ztratné 2%; 0,21   </t>
  </si>
  <si>
    <t>Obrubník silniční přechodový L 1000/150/150-250</t>
  </si>
  <si>
    <t>3   </t>
  </si>
  <si>
    <t>;ztratné 2%; 0,06   </t>
  </si>
  <si>
    <t>Obrubník silniční přechodový P 1000/150/150-250</t>
  </si>
  <si>
    <t>2   </t>
  </si>
  <si>
    <t>;ztratné 2%; 0,04   </t>
  </si>
  <si>
    <t>Dlažba červená s výstupky pro nevidomé 20x10x8</t>
  </si>
  <si>
    <t>;ztratné 5%; 0,21   </t>
  </si>
  <si>
    <t>Doba výstavby:</t>
  </si>
  <si>
    <t>Začátek výstavby:</t>
  </si>
  <si>
    <t>Konec výstavby:</t>
  </si>
  <si>
    <t>Zpracováno dne:</t>
  </si>
  <si>
    <t>MJ</t>
  </si>
  <si>
    <t>soubor</t>
  </si>
  <si>
    <t>m2</t>
  </si>
  <si>
    <t>m</t>
  </si>
  <si>
    <t>kus</t>
  </si>
  <si>
    <t>t</t>
  </si>
  <si>
    <t>Množství</t>
  </si>
  <si>
    <t>Cena/MJ</t>
  </si>
  <si>
    <t>(Kč)</t>
  </si>
  <si>
    <t>Objednatel:</t>
  </si>
  <si>
    <t>Projektant:</t>
  </si>
  <si>
    <t>Zhotovitel:</t>
  </si>
  <si>
    <t>Zpracoval:</t>
  </si>
  <si>
    <t>Náklady (Kč)</t>
  </si>
  <si>
    <t>Dodávka</t>
  </si>
  <si>
    <t>Celkem:</t>
  </si>
  <si>
    <t>Statutární město Jihlava</t>
  </si>
  <si>
    <t> </t>
  </si>
  <si>
    <t>dle výběrového řízení</t>
  </si>
  <si>
    <t>Montáž</t>
  </si>
  <si>
    <t>Celkem</t>
  </si>
  <si>
    <t>Hmotnost (t)</t>
  </si>
  <si>
    <t>Jednot.</t>
  </si>
  <si>
    <t>Přesuny</t>
  </si>
  <si>
    <t>Typ skupiny</t>
  </si>
  <si>
    <t>HSV mat</t>
  </si>
  <si>
    <t>HSV prac</t>
  </si>
  <si>
    <t>PSV mat</t>
  </si>
  <si>
    <t>PSV prac</t>
  </si>
  <si>
    <t>Mont mat</t>
  </si>
  <si>
    <t>Mont prac</t>
  </si>
  <si>
    <t>Ostatní mat.</t>
  </si>
  <si>
    <t>0</t>
  </si>
  <si>
    <t>010VD_</t>
  </si>
  <si>
    <t>11_</t>
  </si>
  <si>
    <t>18_</t>
  </si>
  <si>
    <t>56_</t>
  </si>
  <si>
    <t>57_</t>
  </si>
  <si>
    <t>59_</t>
  </si>
  <si>
    <t>91_</t>
  </si>
  <si>
    <t>93_</t>
  </si>
  <si>
    <t>97_</t>
  </si>
  <si>
    <t>H22_</t>
  </si>
  <si>
    <t>S_</t>
  </si>
  <si>
    <t>Z99999_</t>
  </si>
  <si>
    <t>0_</t>
  </si>
  <si>
    <t>1_</t>
  </si>
  <si>
    <t>5_</t>
  </si>
  <si>
    <t>9_</t>
  </si>
  <si>
    <t>Z_</t>
  </si>
  <si>
    <t>_</t>
  </si>
  <si>
    <t>MAT</t>
  </si>
  <si>
    <t>WORK</t>
  </si>
  <si>
    <t>CELK</t>
  </si>
  <si>
    <t>ISWORK</t>
  </si>
  <si>
    <t>P</t>
  </si>
  <si>
    <t>M</t>
  </si>
  <si>
    <t>GROUPCODE</t>
  </si>
  <si>
    <t>Stavební rozpočet - rekapitulace</t>
  </si>
  <si>
    <t>Zkrácený popis</t>
  </si>
  <si>
    <t>Náklady (Kč) - dodávka</t>
  </si>
  <si>
    <t>Náklady (Kč) - Montáž</t>
  </si>
  <si>
    <t>Náklady (Kč) - celkem</t>
  </si>
  <si>
    <t>Celková hmotnost (t)</t>
  </si>
  <si>
    <t>T</t>
  </si>
  <si>
    <t>Rozpočtové náklady v Kč</t>
  </si>
  <si>
    <t>A</t>
  </si>
  <si>
    <t>HSV</t>
  </si>
  <si>
    <t>PSV</t>
  </si>
  <si>
    <t>"M"</t>
  </si>
  <si>
    <t>Přesun hmot a sutí</t>
  </si>
  <si>
    <t>ZRN celkem</t>
  </si>
  <si>
    <t>Základ 0%</t>
  </si>
  <si>
    <t>Základ 15%</t>
  </si>
  <si>
    <t>Základ 21%</t>
  </si>
  <si>
    <t>Projektant</t>
  </si>
  <si>
    <t>Datum, razítko a podpis</t>
  </si>
  <si>
    <t>Základní rozpočtové náklady</t>
  </si>
  <si>
    <t>Dodávky</t>
  </si>
  <si>
    <t>Krycí list rozpočtu</t>
  </si>
  <si>
    <t>B</t>
  </si>
  <si>
    <t>Práce přesčas</t>
  </si>
  <si>
    <t>Bez pevné podl.</t>
  </si>
  <si>
    <t>Kulturní památka</t>
  </si>
  <si>
    <t>DN celkem</t>
  </si>
  <si>
    <t>DN celkem z obj.</t>
  </si>
  <si>
    <t>DPH 15%</t>
  </si>
  <si>
    <t>DPH 21%</t>
  </si>
  <si>
    <t>Objednatel</t>
  </si>
  <si>
    <t>Doplňkové náklady</t>
  </si>
  <si>
    <t>C</t>
  </si>
  <si>
    <t>Zařízení staveniště</t>
  </si>
  <si>
    <t>Mimostav. doprava</t>
  </si>
  <si>
    <t>Územní vlivy</t>
  </si>
  <si>
    <t>Provozní vlivy</t>
  </si>
  <si>
    <t>Ostatní</t>
  </si>
  <si>
    <t>NUS z rozpočtu</t>
  </si>
  <si>
    <t>NUS celkem</t>
  </si>
  <si>
    <t>NUS celkem z obj.</t>
  </si>
  <si>
    <t>ORN celkem</t>
  </si>
  <si>
    <t>ORN celkem z obj.</t>
  </si>
  <si>
    <t>Celkem bez DPH</t>
  </si>
  <si>
    <t>Celkem včetně DPH</t>
  </si>
  <si>
    <t>Zhotovitel</t>
  </si>
  <si>
    <t>IČ/DIČ:</t>
  </si>
  <si>
    <t>Položek:</t>
  </si>
  <si>
    <t>Datum:</t>
  </si>
  <si>
    <t>Náklady na umístění stavby (NUS)</t>
  </si>
  <si>
    <t>00286010/</t>
  </si>
  <si>
    <t xml:space="preserve">SO 101 Chodník před BD Jarní 1 - 5, SO 102 Chodník před BD Jarní 7 - 15  
</t>
  </si>
  <si>
    <t>29.09.2025</t>
  </si>
  <si>
    <t>Ing. Karel Trojan</t>
  </si>
  <si>
    <t>před vchody č. 1 a 3, vč. odvozu na sklad investora</t>
  </si>
  <si>
    <t>48+94+26+58+25</t>
  </si>
  <si>
    <t>v místech bezbariérových úprav</t>
  </si>
  <si>
    <t xml:space="preserve">18+18+8 </t>
  </si>
  <si>
    <t>18+35+26+22+25</t>
  </si>
  <si>
    <t>33*0,4   </t>
  </si>
  <si>
    <t>65+16+70+11+174+48+94+26+58+25</t>
  </si>
  <si>
    <t>33*0,5   </t>
  </si>
  <si>
    <t>(20)*0,4   </t>
  </si>
  <si>
    <t>odbourání betonu v tl. 40 mm, přápadně výšková úprava</t>
  </si>
  <si>
    <t>251</t>
  </si>
  <si>
    <t>145,63</t>
  </si>
  <si>
    <t>71,29</t>
  </si>
  <si>
    <t>71,29*9   </t>
  </si>
  <si>
    <t>Obrubník chodníkový 1000/80/250 šedý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</si>
</sst>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0"/>
      <name val="Arial"/>
    </font>
    <font>
      <sz val="10"/>
      <color indexed="8"/>
      <name val="Arial"/>
      <charset val="238"/>
    </font>
    <font>
      <sz val="18"/>
      <color indexed="8"/>
      <name val="Arial"/>
      <charset val="238"/>
    </font>
    <font>
      <b/>
      <sz val="10"/>
      <color indexed="8"/>
      <name val="Arial"/>
      <charset val="238"/>
    </font>
    <font>
      <sz val="10"/>
      <color indexed="56"/>
      <name val="Arial"/>
      <charset val="238"/>
    </font>
    <font>
      <sz val="10"/>
      <color indexed="61"/>
      <name val="Arial"/>
      <charset val="238"/>
    </font>
    <font>
      <sz val="10"/>
      <color indexed="62"/>
      <name val="Arial"/>
      <charset val="238"/>
    </font>
    <font>
      <i/>
      <sz val="8"/>
      <color indexed="8"/>
      <name val="Arial"/>
      <charset val="238"/>
    </font>
    <font>
      <b/>
      <sz val="10"/>
      <color indexed="56"/>
      <name val="Arial"/>
      <charset val="238"/>
    </font>
    <font>
      <i/>
      <sz val="10"/>
      <color indexed="60"/>
      <name val="Arial"/>
      <charset val="238"/>
    </font>
    <font>
      <i/>
      <sz val="10"/>
      <color indexed="58"/>
      <name val="Arial"/>
      <charset val="238"/>
    </font>
    <font>
      <i/>
      <sz val="10"/>
      <color indexed="59"/>
      <name val="Arial"/>
      <charset val="238"/>
    </font>
    <font>
      <i/>
      <sz val="10"/>
      <color indexed="63"/>
      <name val="Arial"/>
      <charset val="238"/>
    </font>
    <font>
      <b/>
      <sz val="18"/>
      <color indexed="8"/>
      <name val="Arial"/>
      <charset val="238"/>
    </font>
    <font>
      <b/>
      <sz val="20"/>
      <color indexed="8"/>
      <name val="Arial"/>
      <charset val="238"/>
    </font>
    <font>
      <b/>
      <sz val="12"/>
      <color indexed="8"/>
      <name val="Arial"/>
      <charset val="238"/>
    </font>
    <font>
      <sz val="12"/>
      <color indexed="8"/>
      <name val="Arial"/>
      <charset val="238"/>
    </font>
    <font>
      <b/>
      <sz val="11"/>
      <color indexed="8"/>
      <name val="Arial"/>
      <charset val="238"/>
    </font>
  </fonts>
  <fills count="6">
    <fill>
      <patternFill patternType="none"/>
    </fill>
    <fill>
      <patternFill patternType="gray125"/>
    </fill>
    <fill>
      <patternFill patternType="solid">
        <fgColor indexed="57"/>
        <bgColor indexed="9"/>
      </patternFill>
    </fill>
    <fill>
      <patternFill patternType="solid">
        <fgColor indexed="22"/>
        <bgColor indexed="9"/>
      </patternFill>
    </fill>
    <fill>
      <patternFill patternType="solid">
        <fgColor indexed="9"/>
        <bgColor indexed="64"/>
      </patternFill>
    </fill>
    <fill>
      <patternFill patternType="solid">
        <fgColor theme="8" tint="0.59999389629810485"/>
        <bgColor indexed="64"/>
      </patternFill>
    </fill>
  </fills>
  <borders count="4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s>
  <cellStyleXfs count="2">
    <xf numFmtId="0" fontId="0" fillId="0" borderId="0"/>
    <xf numFmtId="49" fontId="2" fillId="0" borderId="0" xfId="0" applyNumberFormat="1" applyFont="1" applyFill="1" applyBorder="1" applyAlignment="1" applyProtection="1">
      <alignment horizontal="left" vertical="center"/>
    </xf>
  </cellStyleXfs>
  <cellXfs count="147">
    <xf numFmtId="0" fontId="2" fillId="0" borderId="0" xfId="0" applyFont="1" applyAlignment="1">
      <alignment vertical="center"/>
    </xf>
    <xf numFmtId="49" fontId="4" fillId="0" borderId="5" xfId="0" applyNumberFormat="1" applyFont="1" applyFill="1" applyBorder="1" applyAlignment="1" applyProtection="1">
      <alignment horizontal="left" vertical="center"/>
    </xf>
    <xf numFmtId="49" fontId="2" fillId="0" borderId="6" xfId="0" applyNumberFormat="1" applyFont="1" applyFill="1" applyBorder="1" applyAlignment="1" applyProtection="1">
      <alignment horizontal="left" vertical="center"/>
    </xf>
    <xf numFmtId="49" fontId="5" fillId="2" borderId="7" xfId="0" applyNumberFormat="1" applyFont="1" applyFill="1" applyBorder="1" applyAlignment="1" applyProtection="1">
      <alignment horizontal="left" vertical="center"/>
    </xf>
    <xf numFmtId="49" fontId="6" fillId="0" borderId="3" xfId="0" applyNumberFormat="1" applyFont="1" applyFill="1" applyBorder="1" applyAlignment="1" applyProtection="1">
      <alignment horizontal="left" vertical="center"/>
    </xf>
    <xf numFmtId="0" fontId="2" fillId="0" borderId="3" xfId="0" applyNumberFormat="1" applyFont="1" applyFill="1" applyBorder="1" applyAlignment="1" applyProtection="1">
      <alignment vertical="center"/>
    </xf>
    <xf numFmtId="49" fontId="5" fillId="2" borderId="3" xfId="0" applyNumberFormat="1" applyFont="1" applyFill="1" applyBorder="1" applyAlignment="1" applyProtection="1">
      <alignment horizontal="left" vertical="center"/>
    </xf>
    <xf numFmtId="49" fontId="7" fillId="0" borderId="3" xfId="0" applyNumberFormat="1" applyFont="1" applyFill="1" applyBorder="1" applyAlignment="1" applyProtection="1">
      <alignment horizontal="left" vertical="center"/>
    </xf>
    <xf numFmtId="0" fontId="2" fillId="0" borderId="8" xfId="0" applyNumberFormat="1" applyFont="1" applyFill="1" applyBorder="1" applyAlignment="1" applyProtection="1">
      <alignment vertical="center"/>
    </xf>
    <xf numFmtId="0" fontId="2" fillId="0" borderId="9" xfId="0" applyNumberFormat="1" applyFont="1" applyFill="1" applyBorder="1" applyAlignment="1" applyProtection="1">
      <alignment vertical="center"/>
    </xf>
    <xf numFmtId="49" fontId="8" fillId="0" borderId="0" xfId="0" applyNumberFormat="1" applyFont="1" applyFill="1" applyBorder="1" applyAlignment="1" applyProtection="1">
      <alignment horizontal="left" vertical="center"/>
    </xf>
    <xf numFmtId="49" fontId="4" fillId="0" borderId="11" xfId="0" applyNumberFormat="1" applyFont="1" applyFill="1" applyBorder="1" applyAlignment="1" applyProtection="1">
      <alignment horizontal="left" vertical="center"/>
    </xf>
    <xf numFmtId="49" fontId="2" fillId="0" borderId="12" xfId="0" applyNumberFormat="1" applyFont="1" applyFill="1" applyBorder="1" applyAlignment="1" applyProtection="1">
      <alignment horizontal="left" vertical="center"/>
    </xf>
    <xf numFmtId="49" fontId="9" fillId="2" borderId="13"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horizontal="left" vertical="center"/>
    </xf>
    <xf numFmtId="49" fontId="9" fillId="2" borderId="0" xfId="0" applyNumberFormat="1" applyFont="1" applyFill="1" applyBorder="1" applyAlignment="1" applyProtection="1">
      <alignment horizontal="left" vertical="center"/>
    </xf>
    <xf numFmtId="49" fontId="7" fillId="0" borderId="0"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49" fontId="10" fillId="0" borderId="0" xfId="0" applyNumberFormat="1" applyFont="1" applyFill="1" applyBorder="1" applyAlignment="1" applyProtection="1">
      <alignment horizontal="right" vertical="top"/>
    </xf>
    <xf numFmtId="49" fontId="11" fillId="0" borderId="0" xfId="0" applyNumberFormat="1" applyFont="1" applyFill="1" applyBorder="1" applyAlignment="1" applyProtection="1">
      <alignment horizontal="right" vertical="top"/>
    </xf>
    <xf numFmtId="49" fontId="4" fillId="0" borderId="12"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horizontal="left" vertical="center"/>
    </xf>
    <xf numFmtId="49" fontId="13" fillId="0" borderId="1" xfId="0" applyNumberFormat="1" applyFont="1" applyFill="1" applyBorder="1" applyAlignment="1" applyProtection="1">
      <alignment horizontal="left" vertical="center"/>
    </xf>
    <xf numFmtId="49" fontId="2" fillId="0" borderId="0" xfId="0" applyNumberFormat="1" applyFont="1" applyFill="1" applyBorder="1" applyAlignment="1" applyProtection="1">
      <alignment horizontal="left" vertical="center"/>
    </xf>
    <xf numFmtId="49" fontId="5" fillId="2" borderId="13"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left" vertical="center"/>
    </xf>
    <xf numFmtId="49" fontId="4" fillId="0" borderId="11" xfId="0" applyNumberFormat="1" applyFont="1" applyFill="1" applyBorder="1" applyAlignment="1" applyProtection="1">
      <alignment horizontal="center" vertical="center"/>
    </xf>
    <xf numFmtId="4" fontId="6" fillId="0" borderId="0" xfId="0" applyNumberFormat="1" applyFont="1" applyFill="1" applyBorder="1" applyAlignment="1" applyProtection="1">
      <alignment horizontal="right" vertical="center"/>
    </xf>
    <xf numFmtId="4" fontId="13" fillId="0" borderId="0" xfId="0" applyNumberFormat="1" applyFont="1" applyFill="1" applyBorder="1" applyAlignment="1" applyProtection="1">
      <alignment horizontal="right" vertical="center"/>
    </xf>
    <xf numFmtId="4" fontId="7" fillId="0" borderId="0" xfId="0" applyNumberFormat="1" applyFont="1" applyFill="1" applyBorder="1" applyAlignment="1" applyProtection="1">
      <alignment horizontal="right" vertical="center"/>
    </xf>
    <xf numFmtId="4" fontId="13" fillId="0" borderId="1" xfId="0" applyNumberFormat="1" applyFont="1" applyFill="1" applyBorder="1" applyAlignment="1" applyProtection="1">
      <alignment horizontal="right" vertical="center"/>
    </xf>
    <xf numFmtId="49" fontId="4" fillId="0" borderId="14" xfId="0" applyNumberFormat="1" applyFont="1" applyFill="1" applyBorder="1" applyAlignment="1" applyProtection="1">
      <alignment horizontal="center" vertical="center"/>
    </xf>
    <xf numFmtId="49" fontId="4" fillId="0" borderId="15" xfId="0" applyNumberFormat="1" applyFont="1" applyFill="1" applyBorder="1" applyAlignment="1" applyProtection="1">
      <alignment horizontal="center" vertical="center"/>
    </xf>
    <xf numFmtId="49" fontId="4" fillId="0" borderId="17"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left" vertical="center"/>
    </xf>
    <xf numFmtId="49" fontId="4" fillId="0" borderId="19" xfId="0" applyNumberFormat="1" applyFont="1" applyFill="1" applyBorder="1" applyAlignment="1" applyProtection="1">
      <alignment horizontal="center" vertical="center"/>
    </xf>
    <xf numFmtId="49" fontId="4" fillId="0" borderId="21" xfId="0" applyNumberFormat="1" applyFont="1" applyFill="1" applyBorder="1" applyAlignment="1" applyProtection="1">
      <alignment horizontal="center" vertical="center"/>
    </xf>
    <xf numFmtId="49" fontId="9" fillId="2" borderId="13" xfId="0"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right" vertical="center"/>
    </xf>
    <xf numFmtId="0" fontId="2" fillId="0" borderId="23" xfId="0" applyNumberFormat="1" applyFont="1" applyFill="1" applyBorder="1" applyAlignment="1" applyProtection="1">
      <alignment vertical="center"/>
    </xf>
    <xf numFmtId="0" fontId="2" fillId="0" borderId="27" xfId="0" applyNumberFormat="1" applyFont="1" applyFill="1" applyBorder="1" applyAlignment="1" applyProtection="1">
      <alignment vertical="center"/>
    </xf>
    <xf numFmtId="4" fontId="2" fillId="0" borderId="0"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horizontal="right" vertical="center"/>
    </xf>
    <xf numFmtId="4" fontId="9" fillId="2" borderId="13" xfId="0" applyNumberFormat="1" applyFont="1" applyFill="1" applyBorder="1" applyAlignment="1" applyProtection="1">
      <alignment horizontal="right" vertical="center"/>
    </xf>
    <xf numFmtId="4" fontId="9" fillId="2" borderId="0" xfId="0" applyNumberFormat="1" applyFont="1" applyFill="1" applyBorder="1" applyAlignment="1" applyProtection="1">
      <alignment horizontal="right" vertical="center"/>
    </xf>
    <xf numFmtId="4" fontId="4" fillId="0" borderId="9" xfId="0" applyNumberFormat="1" applyFont="1" applyFill="1" applyBorder="1" applyAlignment="1" applyProtection="1">
      <alignment horizontal="right" vertical="center"/>
    </xf>
    <xf numFmtId="49" fontId="4" fillId="0" borderId="28" xfId="0" applyNumberFormat="1" applyFont="1" applyFill="1" applyBorder="1" applyAlignment="1" applyProtection="1">
      <alignment horizontal="left" vertical="center"/>
    </xf>
    <xf numFmtId="49" fontId="2" fillId="0" borderId="7" xfId="0" applyNumberFormat="1" applyFont="1" applyFill="1" applyBorder="1" applyAlignment="1" applyProtection="1">
      <alignment horizontal="left" vertical="center"/>
    </xf>
    <xf numFmtId="49" fontId="2" fillId="0" borderId="3" xfId="0" applyNumberFormat="1" applyFont="1" applyFill="1" applyBorder="1" applyAlignment="1" applyProtection="1">
      <alignment horizontal="left" vertical="center"/>
    </xf>
    <xf numFmtId="49" fontId="2" fillId="0" borderId="8" xfId="0" applyNumberFormat="1" applyFont="1" applyFill="1" applyBorder="1" applyAlignment="1" applyProtection="1">
      <alignment horizontal="left" vertical="center"/>
    </xf>
    <xf numFmtId="49" fontId="4" fillId="0" borderId="29" xfId="0" applyNumberFormat="1" applyFont="1" applyFill="1" applyBorder="1" applyAlignment="1" applyProtection="1">
      <alignment horizontal="left" vertical="center"/>
    </xf>
    <xf numFmtId="49" fontId="2" fillId="0" borderId="13" xfId="0" applyNumberFormat="1" applyFont="1" applyFill="1" applyBorder="1" applyAlignment="1" applyProtection="1">
      <alignment horizontal="left" vertical="center"/>
    </xf>
    <xf numFmtId="49" fontId="2" fillId="0" borderId="1" xfId="0" applyNumberFormat="1" applyFont="1" applyFill="1" applyBorder="1" applyAlignment="1" applyProtection="1">
      <alignment horizontal="left" vertical="center"/>
    </xf>
    <xf numFmtId="49" fontId="4" fillId="0" borderId="30" xfId="0" applyNumberFormat="1" applyFont="1" applyFill="1" applyBorder="1" applyAlignment="1" applyProtection="1">
      <alignment horizontal="left" vertical="center"/>
    </xf>
    <xf numFmtId="49" fontId="4" fillId="0" borderId="30" xfId="0" applyNumberFormat="1" applyFont="1" applyFill="1" applyBorder="1" applyAlignment="1" applyProtection="1">
      <alignment horizontal="center" vertical="center"/>
    </xf>
    <xf numFmtId="49" fontId="4" fillId="0" borderId="31" xfId="0" applyNumberFormat="1" applyFont="1" applyFill="1" applyBorder="1" applyAlignment="1" applyProtection="1">
      <alignment horizontal="center" vertical="center"/>
    </xf>
    <xf numFmtId="4" fontId="2" fillId="0" borderId="3" xfId="0" applyNumberFormat="1" applyFont="1" applyFill="1" applyBorder="1" applyAlignment="1" applyProtection="1">
      <alignment horizontal="right" vertical="center"/>
    </xf>
    <xf numFmtId="4" fontId="2" fillId="0" borderId="13" xfId="0" applyNumberFormat="1" applyFont="1" applyFill="1" applyBorder="1" applyAlignment="1" applyProtection="1">
      <alignment horizontal="right" vertical="center"/>
    </xf>
    <xf numFmtId="4" fontId="2" fillId="0" borderId="1" xfId="0" applyNumberFormat="1" applyFont="1" applyFill="1" applyBorder="1" applyAlignment="1" applyProtection="1">
      <alignment horizontal="right" vertical="center"/>
    </xf>
    <xf numFmtId="4" fontId="2" fillId="0" borderId="25" xfId="0" applyNumberFormat="1" applyFont="1" applyFill="1" applyBorder="1" applyAlignment="1" applyProtection="1">
      <alignment horizontal="right" vertical="center"/>
    </xf>
    <xf numFmtId="4" fontId="2" fillId="0" borderId="23" xfId="0" applyNumberFormat="1" applyFont="1" applyFill="1" applyBorder="1" applyAlignment="1" applyProtection="1">
      <alignment horizontal="right" vertical="center"/>
    </xf>
    <xf numFmtId="4" fontId="2" fillId="0" borderId="26" xfId="0" applyNumberFormat="1" applyFont="1" applyFill="1" applyBorder="1" applyAlignment="1" applyProtection="1">
      <alignment horizontal="right" vertical="center"/>
    </xf>
    <xf numFmtId="49" fontId="15" fillId="3" borderId="36" xfId="0" applyNumberFormat="1" applyFont="1" applyFill="1" applyBorder="1" applyAlignment="1" applyProtection="1">
      <alignment horizontal="center" vertical="center"/>
    </xf>
    <xf numFmtId="49" fontId="16" fillId="0" borderId="37" xfId="0" applyNumberFormat="1" applyFont="1" applyFill="1" applyBorder="1" applyAlignment="1" applyProtection="1">
      <alignment horizontal="left" vertical="center"/>
    </xf>
    <xf numFmtId="49" fontId="16" fillId="0" borderId="38" xfId="0" applyNumberFormat="1" applyFont="1" applyFill="1" applyBorder="1" applyAlignment="1" applyProtection="1">
      <alignment horizontal="left" vertical="center"/>
    </xf>
    <xf numFmtId="0" fontId="2" fillId="0" borderId="40" xfId="0" applyNumberFormat="1" applyFont="1" applyFill="1" applyBorder="1" applyAlignment="1" applyProtection="1">
      <alignment vertical="center"/>
    </xf>
    <xf numFmtId="49" fontId="8" fillId="0" borderId="13" xfId="0" applyNumberFormat="1" applyFont="1" applyFill="1" applyBorder="1" applyAlignment="1" applyProtection="1">
      <alignment horizontal="left" vertical="center"/>
    </xf>
    <xf numFmtId="49" fontId="17" fillId="0" borderId="36" xfId="0" applyNumberFormat="1" applyFont="1" applyFill="1" applyBorder="1" applyAlignment="1" applyProtection="1">
      <alignment horizontal="left" vertical="center"/>
    </xf>
    <xf numFmtId="0" fontId="2" fillId="0" borderId="13" xfId="0" applyNumberFormat="1" applyFont="1" applyFill="1" applyBorder="1" applyAlignment="1" applyProtection="1">
      <alignment vertical="center"/>
    </xf>
    <xf numFmtId="0" fontId="2" fillId="0" borderId="22" xfId="0" applyNumberFormat="1" applyFont="1" applyFill="1" applyBorder="1" applyAlignment="1" applyProtection="1">
      <alignment vertical="center"/>
    </xf>
    <xf numFmtId="4" fontId="17" fillId="0" borderId="36" xfId="0" applyNumberFormat="1" applyFont="1" applyFill="1" applyBorder="1" applyAlignment="1" applyProtection="1">
      <alignment horizontal="right" vertical="center"/>
    </xf>
    <xf numFmtId="49" fontId="17" fillId="0" borderId="36" xfId="0" applyNumberFormat="1" applyFont="1" applyFill="1" applyBorder="1" applyAlignment="1" applyProtection="1">
      <alignment horizontal="right" vertical="center"/>
    </xf>
    <xf numFmtId="4" fontId="17" fillId="0" borderId="19" xfId="0" applyNumberFormat="1" applyFont="1" applyFill="1" applyBorder="1" applyAlignment="1" applyProtection="1">
      <alignment horizontal="right" vertical="center"/>
    </xf>
    <xf numFmtId="0" fontId="2" fillId="0" borderId="25" xfId="0" applyNumberFormat="1" applyFont="1" applyFill="1" applyBorder="1" applyAlignment="1" applyProtection="1">
      <alignment vertical="center"/>
    </xf>
    <xf numFmtId="4" fontId="16" fillId="3" borderId="42" xfId="0" applyNumberFormat="1" applyFont="1" applyFill="1" applyBorder="1" applyAlignment="1" applyProtection="1">
      <alignment horizontal="right" vertical="center"/>
    </xf>
    <xf numFmtId="0" fontId="2" fillId="0" borderId="1" xfId="0" applyNumberFormat="1" applyFont="1" applyFill="1" applyBorder="1" applyAlignment="1" applyProtection="1"/>
    <xf numFmtId="49" fontId="6" fillId="4" borderId="44" xfId="0" applyNumberFormat="1" applyFont="1" applyFill="1" applyBorder="1" applyAlignment="1" applyProtection="1">
      <alignment horizontal="left" vertical="center"/>
    </xf>
    <xf numFmtId="4" fontId="6" fillId="4" borderId="44"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49" fontId="2" fillId="5" borderId="44" xfId="0" applyNumberFormat="1" applyFont="1" applyFill="1" applyBorder="1" applyAlignment="1" applyProtection="1">
      <alignment horizontal="left" vertical="center"/>
    </xf>
    <xf numFmtId="4" fontId="2" fillId="5" borderId="44" xfId="0" applyNumberFormat="1" applyFont="1" applyFill="1" applyBorder="1" applyAlignment="1" applyProtection="1">
      <alignment horizontal="right" vertical="center"/>
    </xf>
    <xf numFmtId="49" fontId="6" fillId="5" borderId="45" xfId="0" applyNumberFormat="1" applyFont="1" applyFill="1" applyBorder="1" applyAlignment="1" applyProtection="1">
      <alignment horizontal="left" vertical="center"/>
    </xf>
    <xf numFmtId="4" fontId="6" fillId="5" borderId="45" xfId="0" applyNumberFormat="1" applyFont="1" applyFill="1" applyBorder="1" applyAlignment="1" applyProtection="1">
      <alignment horizontal="right" vertical="center"/>
    </xf>
    <xf numFmtId="0" fontId="2" fillId="5" borderId="44" xfId="0" applyNumberFormat="1" applyFont="1" applyFill="1" applyBorder="1" applyAlignment="1" applyProtection="1">
      <alignment vertical="center"/>
    </xf>
    <xf numFmtId="0" fontId="1" fillId="5" borderId="44" xfId="1" applyNumberFormat="1" applyFont="1" applyFill="1" applyBorder="1" applyAlignment="1" applyProtection="1"/>
    <xf numFmtId="49" fontId="13" fillId="5" borderId="44" xfId="0" applyNumberFormat="1" applyFont="1" applyFill="1" applyBorder="1" applyAlignment="1" applyProtection="1">
      <alignment horizontal="left" vertical="center"/>
    </xf>
    <xf numFmtId="4" fontId="13" fillId="5" borderId="44"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xf>
    <xf numFmtId="0" fontId="2" fillId="0" borderId="3" xfId="0" applyNumberFormat="1" applyFont="1" applyFill="1" applyBorder="1" applyAlignment="1" applyProtection="1">
      <alignment horizontal="left" vertical="center"/>
    </xf>
    <xf numFmtId="0" fontId="4" fillId="0" borderId="9"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xf>
    <xf numFmtId="49" fontId="2" fillId="0" borderId="9" xfId="0" applyNumberFormat="1" applyFont="1" applyFill="1" applyBorder="1" applyAlignment="1" applyProtection="1">
      <alignment horizontal="left" vertical="center"/>
    </xf>
    <xf numFmtId="0" fontId="2" fillId="0" borderId="9"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left" vertical="center"/>
    </xf>
    <xf numFmtId="0" fontId="2" fillId="0" borderId="4"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horizontal="left" vertical="center"/>
    </xf>
    <xf numFmtId="49" fontId="4" fillId="0" borderId="16"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xf>
    <xf numFmtId="0" fontId="4" fillId="0" borderId="2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top"/>
    </xf>
    <xf numFmtId="49" fontId="4" fillId="0" borderId="9" xfId="0" applyNumberFormat="1" applyFont="1" applyFill="1" applyBorder="1" applyAlignment="1" applyProtection="1">
      <alignment horizontal="left" vertical="center"/>
    </xf>
    <xf numFmtId="0" fontId="4" fillId="0" borderId="9" xfId="0" applyNumberFormat="1" applyFont="1" applyFill="1" applyBorder="1" applyAlignment="1" applyProtection="1">
      <alignment horizontal="left" vertical="center"/>
    </xf>
    <xf numFmtId="0" fontId="2" fillId="0" borderId="23" xfId="0" applyNumberFormat="1" applyFont="1" applyFill="1" applyBorder="1" applyAlignment="1" applyProtection="1">
      <alignment horizontal="left" vertical="center"/>
    </xf>
    <xf numFmtId="0" fontId="2" fillId="0" borderId="22" xfId="0" applyNumberFormat="1" applyFont="1" applyFill="1" applyBorder="1" applyAlignment="1" applyProtection="1">
      <alignment horizontal="left" vertical="center"/>
    </xf>
    <xf numFmtId="0" fontId="2" fillId="0" borderId="24"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center" vertical="center" wrapText="1"/>
    </xf>
    <xf numFmtId="49" fontId="2" fillId="0" borderId="22" xfId="0" applyNumberFormat="1" applyFont="1" applyFill="1" applyBorder="1" applyAlignment="1" applyProtection="1">
      <alignment horizontal="left" vertical="center"/>
    </xf>
    <xf numFmtId="49" fontId="2" fillId="0" borderId="23" xfId="0" applyNumberFormat="1" applyFont="1" applyFill="1" applyBorder="1" applyAlignment="1" applyProtection="1">
      <alignment horizontal="left" vertical="center"/>
    </xf>
    <xf numFmtId="0" fontId="2" fillId="0" borderId="23" xfId="0" applyNumberFormat="1" applyFont="1" applyFill="1" applyBorder="1" applyAlignment="1" applyProtection="1">
      <alignment horizontal="left" vertical="center" wrapText="1"/>
    </xf>
    <xf numFmtId="0" fontId="2" fillId="0" borderId="26" xfId="0" applyNumberFormat="1" applyFont="1" applyFill="1" applyBorder="1" applyAlignment="1" applyProtection="1">
      <alignment horizontal="left" vertical="center"/>
    </xf>
    <xf numFmtId="0" fontId="2" fillId="0" borderId="8"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49" fontId="14" fillId="0" borderId="35" xfId="0" applyNumberFormat="1" applyFont="1" applyFill="1" applyBorder="1" applyAlignment="1" applyProtection="1">
      <alignment horizontal="center" vertical="center"/>
    </xf>
    <xf numFmtId="0" fontId="14" fillId="0" borderId="35" xfId="0" applyNumberFormat="1" applyFont="1" applyFill="1" applyBorder="1" applyAlignment="1" applyProtection="1">
      <alignment horizontal="center" vertical="center"/>
    </xf>
    <xf numFmtId="49" fontId="18" fillId="0" borderId="39" xfId="0" applyNumberFormat="1" applyFont="1" applyFill="1" applyBorder="1" applyAlignment="1" applyProtection="1">
      <alignment horizontal="left" vertical="center"/>
    </xf>
    <xf numFmtId="0" fontId="18" fillId="0" borderId="42" xfId="0" applyNumberFormat="1" applyFont="1" applyFill="1" applyBorder="1" applyAlignment="1" applyProtection="1">
      <alignment horizontal="left" vertical="center"/>
    </xf>
    <xf numFmtId="49" fontId="17" fillId="0" borderId="39" xfId="0" applyNumberFormat="1" applyFont="1" applyFill="1" applyBorder="1" applyAlignment="1" applyProtection="1">
      <alignment horizontal="left" vertical="center"/>
    </xf>
    <xf numFmtId="0" fontId="17" fillId="0" borderId="42" xfId="0" applyNumberFormat="1" applyFont="1" applyFill="1" applyBorder="1" applyAlignment="1" applyProtection="1">
      <alignment horizontal="left" vertical="center"/>
    </xf>
    <xf numFmtId="49" fontId="16" fillId="0" borderId="39" xfId="0" applyNumberFormat="1" applyFont="1" applyFill="1" applyBorder="1" applyAlignment="1" applyProtection="1">
      <alignment horizontal="left" vertical="center"/>
    </xf>
    <xf numFmtId="0" fontId="16" fillId="0" borderId="42" xfId="0" applyNumberFormat="1" applyFont="1" applyFill="1" applyBorder="1" applyAlignment="1" applyProtection="1">
      <alignment horizontal="left" vertical="center"/>
    </xf>
    <xf numFmtId="49" fontId="16" fillId="3" borderId="39" xfId="0" applyNumberFormat="1" applyFont="1" applyFill="1" applyBorder="1" applyAlignment="1" applyProtection="1">
      <alignment horizontal="left" vertical="center"/>
    </xf>
    <xf numFmtId="0" fontId="16" fillId="3" borderId="35" xfId="0" applyNumberFormat="1" applyFont="1" applyFill="1" applyBorder="1" applyAlignment="1" applyProtection="1">
      <alignment horizontal="left" vertical="center"/>
    </xf>
    <xf numFmtId="49" fontId="17" fillId="0" borderId="34" xfId="0" applyNumberFormat="1" applyFont="1" applyFill="1" applyBorder="1" applyAlignment="1" applyProtection="1">
      <alignment horizontal="left" vertical="center"/>
    </xf>
    <xf numFmtId="0" fontId="17" fillId="0" borderId="13" xfId="0" applyNumberFormat="1" applyFont="1" applyFill="1" applyBorder="1" applyAlignment="1" applyProtection="1">
      <alignment horizontal="left" vertical="center"/>
    </xf>
    <xf numFmtId="0" fontId="17" fillId="0" borderId="33" xfId="0" applyNumberFormat="1" applyFont="1" applyFill="1" applyBorder="1" applyAlignment="1" applyProtection="1">
      <alignment horizontal="left" vertical="center"/>
    </xf>
    <xf numFmtId="49" fontId="17" fillId="0" borderId="27" xfId="0" applyNumberFormat="1" applyFont="1" applyFill="1" applyBorder="1" applyAlignment="1" applyProtection="1">
      <alignment horizontal="left" vertical="center"/>
    </xf>
    <xf numFmtId="0" fontId="17" fillId="0" borderId="0" xfId="0" applyNumberFormat="1" applyFont="1" applyFill="1" applyBorder="1" applyAlignment="1" applyProtection="1">
      <alignment horizontal="left" vertical="center"/>
    </xf>
    <xf numFmtId="0" fontId="17" fillId="0" borderId="32" xfId="0" applyNumberFormat="1" applyFont="1" applyFill="1" applyBorder="1" applyAlignment="1" applyProtection="1">
      <alignment horizontal="left" vertical="center"/>
    </xf>
    <xf numFmtId="49" fontId="17" fillId="0" borderId="41" xfId="0" applyNumberFormat="1" applyFont="1" applyFill="1" applyBorder="1" applyAlignment="1" applyProtection="1">
      <alignment horizontal="left" vertical="center"/>
    </xf>
    <xf numFmtId="0" fontId="17" fillId="0" borderId="10" xfId="0" applyNumberFormat="1" applyFont="1" applyFill="1" applyBorder="1" applyAlignment="1" applyProtection="1">
      <alignment horizontal="left" vertical="center"/>
    </xf>
    <xf numFmtId="0" fontId="17" fillId="0" borderId="43" xfId="0" applyNumberFormat="1" applyFont="1" applyFill="1" applyBorder="1" applyAlignment="1" applyProtection="1">
      <alignment horizontal="left" vertical="center"/>
    </xf>
    <xf numFmtId="4" fontId="6" fillId="0" borderId="0" xfId="0" applyNumberFormat="1" applyFont="1" applyFill="1" applyBorder="1" applyAlignment="1" applyProtection="1">
      <alignment horizontal="right" vertical="center"/>
      <protection locked="0"/>
    </xf>
    <xf numFmtId="4" fontId="6" fillId="4" borderId="44" xfId="0" applyNumberFormat="1" applyFont="1" applyFill="1" applyBorder="1" applyAlignment="1" applyProtection="1">
      <alignment horizontal="right" vertical="center"/>
      <protection locked="0"/>
    </xf>
    <xf numFmtId="4" fontId="2" fillId="5" borderId="44" xfId="0" applyNumberFormat="1" applyFont="1" applyFill="1" applyBorder="1" applyAlignment="1" applyProtection="1">
      <alignment horizontal="right" vertical="center"/>
      <protection locked="0"/>
    </xf>
    <xf numFmtId="4" fontId="6" fillId="5" borderId="45" xfId="0" applyNumberFormat="1" applyFont="1" applyFill="1" applyBorder="1" applyAlignment="1" applyProtection="1">
      <alignment horizontal="right" vertical="center"/>
      <protection locked="0"/>
    </xf>
    <xf numFmtId="4" fontId="7" fillId="0" borderId="0" xfId="0" applyNumberFormat="1" applyFont="1" applyFill="1" applyBorder="1" applyAlignment="1" applyProtection="1">
      <alignment horizontal="right" vertical="center"/>
      <protection locked="0"/>
    </xf>
  </cellXfs>
  <cellStyles count="1">
    <cellStyle name="Normální"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000000"/>
      <rgbColor rgb="00000000"/>
      <rgbColor rgb="00C0C0C0"/>
      <rgbColor rgb="00C0C0C0"/>
      <rgbColor rgb="00000000"/>
      <rgbColor rgb="00000000"/>
      <rgbColor rgb="00DBDBDB"/>
      <rgbColor rgb="00000000"/>
      <rgbColor rgb="00C0C0C0"/>
      <rgbColor rgb="00000000"/>
      <rgbColor rgb="00C0C0C0"/>
      <rgbColor rgb="00000000"/>
      <rgbColor rgb="00000000"/>
      <rgbColor rgb="00000000"/>
      <rgbColor rgb="00000000"/>
      <rgbColor rgb="00000000"/>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180975</xdr:colOff>
      <xdr:row>0</xdr:row>
      <xdr:rowOff>885825</xdr:rowOff>
    </xdr:to>
    <xdr:pic>
      <xdr:nvPicPr>
        <xdr:cNvPr id="1025" name="Picture 1">
          <a:extLst>
            <a:ext uri="{FF2B5EF4-FFF2-40B4-BE49-F238E27FC236}">
              <a16:creationId xmlns:a16="http://schemas.microsoft.com/office/drawing/2014/main" id="{C4F0B3F2-4F62-49A7-994D-ADB00A6EC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334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866775</xdr:colOff>
      <xdr:row>0</xdr:row>
      <xdr:rowOff>885825</xdr:rowOff>
    </xdr:to>
    <xdr:pic>
      <xdr:nvPicPr>
        <xdr:cNvPr id="2049" name="Picture 1">
          <a:extLst>
            <a:ext uri="{FF2B5EF4-FFF2-40B4-BE49-F238E27FC236}">
              <a16:creationId xmlns:a16="http://schemas.microsoft.com/office/drawing/2014/main" id="{53602CD3-E3C5-412C-9173-5A3DF72CA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67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285750</xdr:colOff>
      <xdr:row>0</xdr:row>
      <xdr:rowOff>885825</xdr:rowOff>
    </xdr:to>
    <xdr:pic>
      <xdr:nvPicPr>
        <xdr:cNvPr id="5121" name="Picture 1">
          <a:extLst>
            <a:ext uri="{FF2B5EF4-FFF2-40B4-BE49-F238E27FC236}">
              <a16:creationId xmlns:a16="http://schemas.microsoft.com/office/drawing/2014/main" id="{8B0295FB-B5FF-4612-BEFD-C991079CB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23"/>
  <sheetViews>
    <sheetView workbookViewId="0">
      <pane ySplit="11" topLeftCell="A57" activePane="bottomLeft" state="frozenSplit"/>
      <selection pane="bottomLeft" activeCell="G118" activeCellId="40" sqref="G13 G15 G17 G19 G21 G23 G25 G27 G29 G32 G34 G36 G39 G41 G43 G47 G50 G53 G56 G60 G62 G65 G69 G70 G73 G76 G78 G82 G84 G87 G90 G93 G95 G98 G100 G103 G106 G109 G112 G115 G118"/>
    </sheetView>
  </sheetViews>
  <sheetFormatPr defaultColWidth="11.5546875" defaultRowHeight="13.2" x14ac:dyDescent="0.25"/>
  <cols>
    <col min="1" max="1" width="3.6640625" customWidth="1"/>
    <col min="2" max="2" width="7.5546875" customWidth="1"/>
    <col min="3" max="3" width="14.33203125" customWidth="1"/>
    <col min="4" max="4" width="49.6640625" customWidth="1"/>
    <col min="5" max="5" width="6.44140625" customWidth="1"/>
    <col min="6" max="6" width="12.88671875" customWidth="1"/>
    <col min="7" max="7" width="12" customWidth="1"/>
    <col min="8" max="10" width="14.33203125" customWidth="1"/>
    <col min="11" max="12" width="11.6640625" customWidth="1"/>
    <col min="24" max="63" width="12.109375" hidden="1" customWidth="1"/>
  </cols>
  <sheetData>
    <row r="1" spans="1:63" ht="72.900000000000006" customHeight="1" x14ac:dyDescent="0.4">
      <c r="A1" s="91" t="s">
        <v>0</v>
      </c>
      <c r="B1" s="92"/>
      <c r="C1" s="92"/>
      <c r="D1" s="92"/>
      <c r="E1" s="92"/>
      <c r="F1" s="92"/>
      <c r="G1" s="92"/>
      <c r="H1" s="92"/>
      <c r="I1" s="92"/>
      <c r="J1" s="92"/>
      <c r="K1" s="92"/>
      <c r="L1" s="92"/>
    </row>
    <row r="2" spans="1:63" x14ac:dyDescent="0.25">
      <c r="A2" s="93" t="s">
        <v>1</v>
      </c>
      <c r="B2" s="94"/>
      <c r="C2" s="94"/>
      <c r="D2" s="96" t="s">
        <v>96</v>
      </c>
      <c r="E2" s="98" t="s">
        <v>181</v>
      </c>
      <c r="F2" s="94"/>
      <c r="G2" s="98" t="s">
        <v>6</v>
      </c>
      <c r="H2" s="99" t="s">
        <v>194</v>
      </c>
      <c r="I2" s="99" t="s">
        <v>201</v>
      </c>
      <c r="J2" s="94"/>
      <c r="K2" s="94"/>
      <c r="L2" s="94"/>
      <c r="M2" s="5"/>
    </row>
    <row r="3" spans="1:63" x14ac:dyDescent="0.25">
      <c r="A3" s="95"/>
      <c r="B3" s="90"/>
      <c r="C3" s="90"/>
      <c r="D3" s="97"/>
      <c r="E3" s="90"/>
      <c r="F3" s="90"/>
      <c r="G3" s="90"/>
      <c r="H3" s="90"/>
      <c r="I3" s="90"/>
      <c r="J3" s="90"/>
      <c r="K3" s="90"/>
      <c r="L3" s="90"/>
      <c r="M3" s="5"/>
    </row>
    <row r="4" spans="1:63" x14ac:dyDescent="0.25">
      <c r="A4" s="100" t="s">
        <v>2</v>
      </c>
      <c r="B4" s="90"/>
      <c r="C4" s="90"/>
      <c r="D4" s="101" t="s">
        <v>294</v>
      </c>
      <c r="E4" s="1" t="s">
        <v>182</v>
      </c>
      <c r="F4" s="90"/>
      <c r="G4" s="1" t="s">
        <v>6</v>
      </c>
      <c r="H4" s="101" t="s">
        <v>195</v>
      </c>
      <c r="I4" s="1" t="s">
        <v>202</v>
      </c>
      <c r="J4" s="90"/>
      <c r="K4" s="90"/>
      <c r="L4" s="90"/>
      <c r="M4" s="5"/>
    </row>
    <row r="5" spans="1:63" x14ac:dyDescent="0.25">
      <c r="A5" s="95"/>
      <c r="B5" s="90"/>
      <c r="C5" s="90"/>
      <c r="D5" s="90"/>
      <c r="E5" s="90"/>
      <c r="F5" s="90"/>
      <c r="G5" s="90"/>
      <c r="H5" s="90"/>
      <c r="I5" s="90"/>
      <c r="J5" s="90"/>
      <c r="K5" s="90"/>
      <c r="L5" s="90"/>
      <c r="M5" s="5"/>
    </row>
    <row r="6" spans="1:63" x14ac:dyDescent="0.25">
      <c r="A6" s="100" t="s">
        <v>3</v>
      </c>
      <c r="B6" s="90"/>
      <c r="C6" s="90"/>
      <c r="D6" s="101" t="s">
        <v>97</v>
      </c>
      <c r="E6" s="1" t="s">
        <v>183</v>
      </c>
      <c r="F6" s="90"/>
      <c r="G6" s="1" t="s">
        <v>6</v>
      </c>
      <c r="H6" s="101" t="s">
        <v>196</v>
      </c>
      <c r="I6" s="101" t="s">
        <v>203</v>
      </c>
      <c r="J6" s="90"/>
      <c r="K6" s="90"/>
      <c r="L6" s="90"/>
      <c r="M6" s="5"/>
    </row>
    <row r="7" spans="1:63" x14ac:dyDescent="0.25">
      <c r="A7" s="95"/>
      <c r="B7" s="90"/>
      <c r="C7" s="90"/>
      <c r="D7" s="90"/>
      <c r="E7" s="90"/>
      <c r="F7" s="90"/>
      <c r="G7" s="90"/>
      <c r="H7" s="90"/>
      <c r="I7" s="90"/>
      <c r="J7" s="90"/>
      <c r="K7" s="90"/>
      <c r="L7" s="90"/>
      <c r="M7" s="5"/>
    </row>
    <row r="8" spans="1:63" x14ac:dyDescent="0.25">
      <c r="A8" s="100" t="s">
        <v>4</v>
      </c>
      <c r="B8" s="90"/>
      <c r="C8" s="90"/>
      <c r="D8" s="101" t="s">
        <v>6</v>
      </c>
      <c r="E8" s="1" t="s">
        <v>184</v>
      </c>
      <c r="F8" s="90"/>
      <c r="G8" s="1" t="s">
        <v>295</v>
      </c>
      <c r="H8" s="101" t="s">
        <v>197</v>
      </c>
      <c r="I8" s="101" t="s">
        <v>296</v>
      </c>
      <c r="J8" s="90"/>
      <c r="K8" s="90"/>
      <c r="L8" s="90"/>
      <c r="M8" s="5"/>
    </row>
    <row r="9" spans="1:63" x14ac:dyDescent="0.25">
      <c r="A9" s="103"/>
      <c r="B9" s="102"/>
      <c r="C9" s="102"/>
      <c r="D9" s="102"/>
      <c r="E9" s="102"/>
      <c r="F9" s="102"/>
      <c r="G9" s="102"/>
      <c r="H9" s="102"/>
      <c r="I9" s="102"/>
      <c r="J9" s="102"/>
      <c r="K9" s="102"/>
      <c r="L9" s="102"/>
      <c r="M9" s="5"/>
    </row>
    <row r="10" spans="1:63" x14ac:dyDescent="0.25">
      <c r="A10" s="1" t="s">
        <v>5</v>
      </c>
      <c r="B10" s="11" t="s">
        <v>51</v>
      </c>
      <c r="C10" s="11" t="s">
        <v>52</v>
      </c>
      <c r="D10" s="11" t="s">
        <v>98</v>
      </c>
      <c r="E10" s="11" t="s">
        <v>185</v>
      </c>
      <c r="F10" s="26" t="s">
        <v>191</v>
      </c>
      <c r="G10" s="31" t="s">
        <v>192</v>
      </c>
      <c r="H10" s="106" t="s">
        <v>198</v>
      </c>
      <c r="I10" s="107"/>
      <c r="J10" s="108"/>
      <c r="K10" s="106" t="s">
        <v>206</v>
      </c>
      <c r="L10" s="108"/>
      <c r="M10" s="40"/>
      <c r="BJ10" s="38" t="s">
        <v>239</v>
      </c>
      <c r="BK10" s="45" t="s">
        <v>242</v>
      </c>
    </row>
    <row r="11" spans="1:63" x14ac:dyDescent="0.25">
      <c r="A11" s="2" t="s">
        <v>6</v>
      </c>
      <c r="B11" s="12" t="s">
        <v>6</v>
      </c>
      <c r="C11" s="12" t="s">
        <v>6</v>
      </c>
      <c r="D11" s="20" t="s">
        <v>99</v>
      </c>
      <c r="E11" s="12" t="s">
        <v>6</v>
      </c>
      <c r="F11" s="12" t="s">
        <v>6</v>
      </c>
      <c r="G11" s="32" t="s">
        <v>193</v>
      </c>
      <c r="H11" s="33" t="s">
        <v>199</v>
      </c>
      <c r="I11" s="35" t="s">
        <v>204</v>
      </c>
      <c r="J11" s="36" t="s">
        <v>205</v>
      </c>
      <c r="K11" s="33" t="s">
        <v>207</v>
      </c>
      <c r="L11" s="36" t="s">
        <v>205</v>
      </c>
      <c r="M11" s="40"/>
      <c r="Y11" s="38" t="s">
        <v>208</v>
      </c>
      <c r="Z11" s="38" t="s">
        <v>209</v>
      </c>
      <c r="AA11" s="38" t="s">
        <v>210</v>
      </c>
      <c r="AB11" s="38" t="s">
        <v>211</v>
      </c>
      <c r="AC11" s="38" t="s">
        <v>212</v>
      </c>
      <c r="AD11" s="38" t="s">
        <v>213</v>
      </c>
      <c r="AE11" s="38" t="s">
        <v>214</v>
      </c>
      <c r="AF11" s="38" t="s">
        <v>215</v>
      </c>
      <c r="AG11" s="38" t="s">
        <v>216</v>
      </c>
      <c r="BG11" s="38" t="s">
        <v>236</v>
      </c>
      <c r="BH11" s="38" t="s">
        <v>237</v>
      </c>
      <c r="BI11" s="38" t="s">
        <v>238</v>
      </c>
    </row>
    <row r="12" spans="1:63" x14ac:dyDescent="0.25">
      <c r="A12" s="3"/>
      <c r="B12" s="13"/>
      <c r="C12" s="13" t="s">
        <v>53</v>
      </c>
      <c r="D12" s="13" t="s">
        <v>100</v>
      </c>
      <c r="E12" s="24" t="s">
        <v>6</v>
      </c>
      <c r="F12" s="24" t="s">
        <v>6</v>
      </c>
      <c r="G12" s="24" t="s">
        <v>6</v>
      </c>
      <c r="H12" s="46">
        <f>SUM(H13:H29)</f>
        <v>0</v>
      </c>
      <c r="I12" s="46">
        <f>SUM(I13:I29)</f>
        <v>0</v>
      </c>
      <c r="J12" s="46">
        <f>SUM(J13:J29)</f>
        <v>0</v>
      </c>
      <c r="K12" s="37"/>
      <c r="L12" s="46">
        <f>SUM(L13:L29)</f>
        <v>0</v>
      </c>
      <c r="M12" s="5"/>
      <c r="AH12" s="38"/>
      <c r="AR12" s="47">
        <f>SUM(AI13:AI29)</f>
        <v>0</v>
      </c>
      <c r="AS12" s="47">
        <f>SUM(AJ13:AJ29)</f>
        <v>0</v>
      </c>
      <c r="AT12" s="47">
        <f>SUM(AK13:AK29)</f>
        <v>0</v>
      </c>
    </row>
    <row r="13" spans="1:63" x14ac:dyDescent="0.25">
      <c r="A13" s="4" t="s">
        <v>7</v>
      </c>
      <c r="B13" s="14"/>
      <c r="C13" s="14" t="s">
        <v>54</v>
      </c>
      <c r="D13" s="14" t="s">
        <v>101</v>
      </c>
      <c r="E13" s="14" t="s">
        <v>186</v>
      </c>
      <c r="F13" s="27">
        <v>1</v>
      </c>
      <c r="G13" s="142"/>
      <c r="H13" s="27">
        <f>F13*AN13</f>
        <v>0</v>
      </c>
      <c r="I13" s="27">
        <f>F13*AO13</f>
        <v>0</v>
      </c>
      <c r="J13" s="27">
        <f>F13*G13</f>
        <v>0</v>
      </c>
      <c r="K13" s="27">
        <v>0</v>
      </c>
      <c r="L13" s="27">
        <f>F13*K13</f>
        <v>0</v>
      </c>
      <c r="M13" s="5"/>
      <c r="Y13" s="41">
        <f>IF(AP13="5",BI13,0)</f>
        <v>0</v>
      </c>
      <c r="AA13" s="41">
        <f>IF(AP13="1",BG13,0)</f>
        <v>0</v>
      </c>
      <c r="AB13" s="41">
        <f>IF(AP13="1",BH13,0)</f>
        <v>0</v>
      </c>
      <c r="AC13" s="41">
        <f>IF(AP13="7",BG13,0)</f>
        <v>0</v>
      </c>
      <c r="AD13" s="41">
        <f>IF(AP13="7",BH13,0)</f>
        <v>0</v>
      </c>
      <c r="AE13" s="41">
        <f>IF(AP13="2",BG13,0)</f>
        <v>0</v>
      </c>
      <c r="AF13" s="41">
        <f>IF(AP13="2",BH13,0)</f>
        <v>0</v>
      </c>
      <c r="AG13" s="41">
        <f>IF(AP13="0",BI13,0)</f>
        <v>0</v>
      </c>
      <c r="AH13" s="38"/>
      <c r="AI13" s="27">
        <f>IF(AM13=0,J13,0)</f>
        <v>0</v>
      </c>
      <c r="AJ13" s="27">
        <f>IF(AM13=15,J13,0)</f>
        <v>0</v>
      </c>
      <c r="AK13" s="27">
        <f>IF(AM13=21,J13,0)</f>
        <v>0</v>
      </c>
      <c r="AM13" s="41">
        <v>21</v>
      </c>
      <c r="AN13" s="41">
        <f>G13*0</f>
        <v>0</v>
      </c>
      <c r="AO13" s="41">
        <f>G13*(1-0)</f>
        <v>0</v>
      </c>
      <c r="AP13" s="42" t="s">
        <v>7</v>
      </c>
      <c r="AU13" s="41">
        <f>AV13+AW13</f>
        <v>0</v>
      </c>
      <c r="AV13" s="41">
        <f>F13*AN13</f>
        <v>0</v>
      </c>
      <c r="AW13" s="41">
        <f>F13*AO13</f>
        <v>0</v>
      </c>
      <c r="AX13" s="44" t="s">
        <v>218</v>
      </c>
      <c r="AY13" s="44" t="s">
        <v>230</v>
      </c>
      <c r="AZ13" s="38" t="s">
        <v>235</v>
      </c>
      <c r="BB13" s="41">
        <f>AV13+AW13</f>
        <v>0</v>
      </c>
      <c r="BC13" s="41">
        <f>G13/(100-BD13)*100</f>
        <v>0</v>
      </c>
      <c r="BD13" s="41">
        <v>0</v>
      </c>
      <c r="BE13" s="41">
        <f>L13</f>
        <v>0</v>
      </c>
      <c r="BG13" s="27">
        <f>F13*AN13</f>
        <v>0</v>
      </c>
      <c r="BH13" s="27">
        <f>F13*AO13</f>
        <v>0</v>
      </c>
      <c r="BI13" s="27">
        <f>F13*G13</f>
        <v>0</v>
      </c>
      <c r="BJ13" s="27" t="s">
        <v>240</v>
      </c>
      <c r="BK13" s="41" t="s">
        <v>53</v>
      </c>
    </row>
    <row r="14" spans="1:63" ht="38.4" customHeight="1" x14ac:dyDescent="0.25">
      <c r="A14" s="5"/>
      <c r="C14" s="18" t="s">
        <v>49</v>
      </c>
      <c r="D14" s="109" t="s">
        <v>102</v>
      </c>
      <c r="E14" s="110"/>
      <c r="F14" s="110"/>
      <c r="G14" s="110"/>
      <c r="H14" s="110"/>
      <c r="I14" s="110"/>
      <c r="J14" s="110"/>
      <c r="K14" s="110"/>
      <c r="L14" s="110"/>
      <c r="M14" s="5"/>
    </row>
    <row r="15" spans="1:63" x14ac:dyDescent="0.25">
      <c r="A15" s="4" t="s">
        <v>8</v>
      </c>
      <c r="B15" s="14"/>
      <c r="C15" s="14" t="s">
        <v>54</v>
      </c>
      <c r="D15" s="14" t="s">
        <v>103</v>
      </c>
      <c r="E15" s="14" t="s">
        <v>186</v>
      </c>
      <c r="F15" s="27">
        <v>1</v>
      </c>
      <c r="G15" s="142"/>
      <c r="H15" s="27">
        <f>F15*AN15</f>
        <v>0</v>
      </c>
      <c r="I15" s="27">
        <f>F15*AO15</f>
        <v>0</v>
      </c>
      <c r="J15" s="27">
        <f>F15*G15</f>
        <v>0</v>
      </c>
      <c r="K15" s="27">
        <v>0</v>
      </c>
      <c r="L15" s="27">
        <f>F15*K15</f>
        <v>0</v>
      </c>
      <c r="M15" s="5"/>
      <c r="Y15" s="41">
        <f>IF(AP15="5",BI15,0)</f>
        <v>0</v>
      </c>
      <c r="AA15" s="41">
        <f>IF(AP15="1",BG15,0)</f>
        <v>0</v>
      </c>
      <c r="AB15" s="41">
        <f>IF(AP15="1",BH15,0)</f>
        <v>0</v>
      </c>
      <c r="AC15" s="41">
        <f>IF(AP15="7",BG15,0)</f>
        <v>0</v>
      </c>
      <c r="AD15" s="41">
        <f>IF(AP15="7",BH15,0)</f>
        <v>0</v>
      </c>
      <c r="AE15" s="41">
        <f>IF(AP15="2",BG15,0)</f>
        <v>0</v>
      </c>
      <c r="AF15" s="41">
        <f>IF(AP15="2",BH15,0)</f>
        <v>0</v>
      </c>
      <c r="AG15" s="41">
        <f>IF(AP15="0",BI15,0)</f>
        <v>0</v>
      </c>
      <c r="AH15" s="38"/>
      <c r="AI15" s="27">
        <f>IF(AM15=0,J15,0)</f>
        <v>0</v>
      </c>
      <c r="AJ15" s="27">
        <f>IF(AM15=15,J15,0)</f>
        <v>0</v>
      </c>
      <c r="AK15" s="27">
        <f>IF(AM15=21,J15,0)</f>
        <v>0</v>
      </c>
      <c r="AM15" s="41">
        <v>21</v>
      </c>
      <c r="AN15" s="41">
        <f>G15*0</f>
        <v>0</v>
      </c>
      <c r="AO15" s="41">
        <f>G15*(1-0)</f>
        <v>0</v>
      </c>
      <c r="AP15" s="42" t="s">
        <v>7</v>
      </c>
      <c r="AU15" s="41">
        <f>AV15+AW15</f>
        <v>0</v>
      </c>
      <c r="AV15" s="41">
        <f>F15*AN15</f>
        <v>0</v>
      </c>
      <c r="AW15" s="41">
        <f>F15*AO15</f>
        <v>0</v>
      </c>
      <c r="AX15" s="44" t="s">
        <v>218</v>
      </c>
      <c r="AY15" s="44" t="s">
        <v>230</v>
      </c>
      <c r="AZ15" s="38" t="s">
        <v>235</v>
      </c>
      <c r="BB15" s="41">
        <f>AV15+AW15</f>
        <v>0</v>
      </c>
      <c r="BC15" s="41">
        <f>G15/(100-BD15)*100</f>
        <v>0</v>
      </c>
      <c r="BD15" s="41">
        <v>0</v>
      </c>
      <c r="BE15" s="41">
        <f>L15</f>
        <v>0</v>
      </c>
      <c r="BG15" s="27">
        <f>F15*AN15</f>
        <v>0</v>
      </c>
      <c r="BH15" s="27">
        <f>F15*AO15</f>
        <v>0</v>
      </c>
      <c r="BI15" s="27">
        <f>F15*G15</f>
        <v>0</v>
      </c>
      <c r="BJ15" s="27" t="s">
        <v>240</v>
      </c>
      <c r="BK15" s="41" t="s">
        <v>53</v>
      </c>
    </row>
    <row r="16" spans="1:63" ht="38.4" customHeight="1" x14ac:dyDescent="0.25">
      <c r="A16" s="5"/>
      <c r="C16" s="18" t="s">
        <v>49</v>
      </c>
      <c r="D16" s="109" t="s">
        <v>104</v>
      </c>
      <c r="E16" s="110"/>
      <c r="F16" s="110"/>
      <c r="G16" s="110"/>
      <c r="H16" s="110"/>
      <c r="I16" s="110"/>
      <c r="J16" s="110"/>
      <c r="K16" s="110"/>
      <c r="L16" s="110"/>
      <c r="M16" s="5"/>
    </row>
    <row r="17" spans="1:63" x14ac:dyDescent="0.25">
      <c r="A17" s="4" t="s">
        <v>9</v>
      </c>
      <c r="B17" s="14"/>
      <c r="C17" s="14" t="s">
        <v>54</v>
      </c>
      <c r="D17" s="14" t="s">
        <v>105</v>
      </c>
      <c r="E17" s="14" t="s">
        <v>186</v>
      </c>
      <c r="F17" s="27">
        <v>1</v>
      </c>
      <c r="G17" s="142"/>
      <c r="H17" s="27">
        <f>F17*AN17</f>
        <v>0</v>
      </c>
      <c r="I17" s="27">
        <f>F17*AO17</f>
        <v>0</v>
      </c>
      <c r="J17" s="27">
        <f>F17*G17</f>
        <v>0</v>
      </c>
      <c r="K17" s="27">
        <v>0</v>
      </c>
      <c r="L17" s="27">
        <f>F17*K17</f>
        <v>0</v>
      </c>
      <c r="M17" s="5"/>
      <c r="Y17" s="41">
        <f>IF(AP17="5",BI17,0)</f>
        <v>0</v>
      </c>
      <c r="AA17" s="41">
        <f>IF(AP17="1",BG17,0)</f>
        <v>0</v>
      </c>
      <c r="AB17" s="41">
        <f>IF(AP17="1",BH17,0)</f>
        <v>0</v>
      </c>
      <c r="AC17" s="41">
        <f>IF(AP17="7",BG17,0)</f>
        <v>0</v>
      </c>
      <c r="AD17" s="41">
        <f>IF(AP17="7",BH17,0)</f>
        <v>0</v>
      </c>
      <c r="AE17" s="41">
        <f>IF(AP17="2",BG17,0)</f>
        <v>0</v>
      </c>
      <c r="AF17" s="41">
        <f>IF(AP17="2",BH17,0)</f>
        <v>0</v>
      </c>
      <c r="AG17" s="41">
        <f>IF(AP17="0",BI17,0)</f>
        <v>0</v>
      </c>
      <c r="AH17" s="38"/>
      <c r="AI17" s="27">
        <f>IF(AM17=0,J17,0)</f>
        <v>0</v>
      </c>
      <c r="AJ17" s="27">
        <f>IF(AM17=15,J17,0)</f>
        <v>0</v>
      </c>
      <c r="AK17" s="27">
        <f>IF(AM17=21,J17,0)</f>
        <v>0</v>
      </c>
      <c r="AM17" s="41">
        <v>21</v>
      </c>
      <c r="AN17" s="41">
        <f>G17*0</f>
        <v>0</v>
      </c>
      <c r="AO17" s="41">
        <f>G17*(1-0)</f>
        <v>0</v>
      </c>
      <c r="AP17" s="42" t="s">
        <v>7</v>
      </c>
      <c r="AU17" s="41">
        <f>AV17+AW17</f>
        <v>0</v>
      </c>
      <c r="AV17" s="41">
        <f>F17*AN17</f>
        <v>0</v>
      </c>
      <c r="AW17" s="41">
        <f>F17*AO17</f>
        <v>0</v>
      </c>
      <c r="AX17" s="44" t="s">
        <v>218</v>
      </c>
      <c r="AY17" s="44" t="s">
        <v>230</v>
      </c>
      <c r="AZ17" s="38" t="s">
        <v>235</v>
      </c>
      <c r="BB17" s="41">
        <f>AV17+AW17</f>
        <v>0</v>
      </c>
      <c r="BC17" s="41">
        <f>G17/(100-BD17)*100</f>
        <v>0</v>
      </c>
      <c r="BD17" s="41">
        <v>0</v>
      </c>
      <c r="BE17" s="41">
        <f>L17</f>
        <v>0</v>
      </c>
      <c r="BG17" s="27">
        <f>F17*AN17</f>
        <v>0</v>
      </c>
      <c r="BH17" s="27">
        <f>F17*AO17</f>
        <v>0</v>
      </c>
      <c r="BI17" s="27">
        <f>F17*G17</f>
        <v>0</v>
      </c>
      <c r="BJ17" s="27" t="s">
        <v>240</v>
      </c>
      <c r="BK17" s="41" t="s">
        <v>53</v>
      </c>
    </row>
    <row r="18" spans="1:63" x14ac:dyDescent="0.25">
      <c r="A18" s="5"/>
      <c r="C18" s="18" t="s">
        <v>49</v>
      </c>
      <c r="D18" s="109" t="s">
        <v>106</v>
      </c>
      <c r="E18" s="110"/>
      <c r="F18" s="110"/>
      <c r="G18" s="110"/>
      <c r="H18" s="110"/>
      <c r="I18" s="110"/>
      <c r="J18" s="110"/>
      <c r="K18" s="110"/>
      <c r="L18" s="110"/>
      <c r="M18" s="5"/>
    </row>
    <row r="19" spans="1:63" x14ac:dyDescent="0.25">
      <c r="A19" s="4" t="s">
        <v>10</v>
      </c>
      <c r="B19" s="14"/>
      <c r="C19" s="14" t="s">
        <v>54</v>
      </c>
      <c r="D19" s="14" t="s">
        <v>107</v>
      </c>
      <c r="E19" s="14" t="s">
        <v>186</v>
      </c>
      <c r="F19" s="27">
        <v>1</v>
      </c>
      <c r="G19" s="142"/>
      <c r="H19" s="27">
        <f>F19*AN19</f>
        <v>0</v>
      </c>
      <c r="I19" s="27">
        <f>F19*AO19</f>
        <v>0</v>
      </c>
      <c r="J19" s="27">
        <f>F19*G19</f>
        <v>0</v>
      </c>
      <c r="K19" s="27">
        <v>0</v>
      </c>
      <c r="L19" s="27">
        <f>F19*K19</f>
        <v>0</v>
      </c>
      <c r="M19" s="5"/>
      <c r="Y19" s="41">
        <f>IF(AP19="5",BI19,0)</f>
        <v>0</v>
      </c>
      <c r="AA19" s="41">
        <f>IF(AP19="1",BG19,0)</f>
        <v>0</v>
      </c>
      <c r="AB19" s="41">
        <f>IF(AP19="1",BH19,0)</f>
        <v>0</v>
      </c>
      <c r="AC19" s="41">
        <f>IF(AP19="7",BG19,0)</f>
        <v>0</v>
      </c>
      <c r="AD19" s="41">
        <f>IF(AP19="7",BH19,0)</f>
        <v>0</v>
      </c>
      <c r="AE19" s="41">
        <f>IF(AP19="2",BG19,0)</f>
        <v>0</v>
      </c>
      <c r="AF19" s="41">
        <f>IF(AP19="2",BH19,0)</f>
        <v>0</v>
      </c>
      <c r="AG19" s="41">
        <f>IF(AP19="0",BI19,0)</f>
        <v>0</v>
      </c>
      <c r="AH19" s="38"/>
      <c r="AI19" s="27">
        <f>IF(AM19=0,J19,0)</f>
        <v>0</v>
      </c>
      <c r="AJ19" s="27">
        <f>IF(AM19=15,J19,0)</f>
        <v>0</v>
      </c>
      <c r="AK19" s="27">
        <f>IF(AM19=21,J19,0)</f>
        <v>0</v>
      </c>
      <c r="AM19" s="41">
        <v>21</v>
      </c>
      <c r="AN19" s="41">
        <f>G19*0</f>
        <v>0</v>
      </c>
      <c r="AO19" s="41">
        <f>G19*(1-0)</f>
        <v>0</v>
      </c>
      <c r="AP19" s="42" t="s">
        <v>7</v>
      </c>
      <c r="AU19" s="41">
        <f>AV19+AW19</f>
        <v>0</v>
      </c>
      <c r="AV19" s="41">
        <f>F19*AN19</f>
        <v>0</v>
      </c>
      <c r="AW19" s="41">
        <f>F19*AO19</f>
        <v>0</v>
      </c>
      <c r="AX19" s="44" t="s">
        <v>218</v>
      </c>
      <c r="AY19" s="44" t="s">
        <v>230</v>
      </c>
      <c r="AZ19" s="38" t="s">
        <v>235</v>
      </c>
      <c r="BB19" s="41">
        <f>AV19+AW19</f>
        <v>0</v>
      </c>
      <c r="BC19" s="41">
        <f>G19/(100-BD19)*100</f>
        <v>0</v>
      </c>
      <c r="BD19" s="41">
        <v>0</v>
      </c>
      <c r="BE19" s="41">
        <f>L19</f>
        <v>0</v>
      </c>
      <c r="BG19" s="27">
        <f>F19*AN19</f>
        <v>0</v>
      </c>
      <c r="BH19" s="27">
        <f>F19*AO19</f>
        <v>0</v>
      </c>
      <c r="BI19" s="27">
        <f>F19*G19</f>
        <v>0</v>
      </c>
      <c r="BJ19" s="27" t="s">
        <v>240</v>
      </c>
      <c r="BK19" s="41" t="s">
        <v>53</v>
      </c>
    </row>
    <row r="20" spans="1:63" ht="25.65" customHeight="1" x14ac:dyDescent="0.25">
      <c r="A20" s="5"/>
      <c r="C20" s="18" t="s">
        <v>49</v>
      </c>
      <c r="D20" s="109" t="s">
        <v>108</v>
      </c>
      <c r="E20" s="110"/>
      <c r="F20" s="110"/>
      <c r="G20" s="110"/>
      <c r="H20" s="110"/>
      <c r="I20" s="110"/>
      <c r="J20" s="110"/>
      <c r="K20" s="110"/>
      <c r="L20" s="110"/>
      <c r="M20" s="5"/>
    </row>
    <row r="21" spans="1:63" x14ac:dyDescent="0.25">
      <c r="A21" s="4" t="s">
        <v>11</v>
      </c>
      <c r="B21" s="14"/>
      <c r="C21" s="14" t="s">
        <v>54</v>
      </c>
      <c r="D21" s="14" t="s">
        <v>109</v>
      </c>
      <c r="E21" s="14" t="s">
        <v>186</v>
      </c>
      <c r="F21" s="27">
        <v>1</v>
      </c>
      <c r="G21" s="142"/>
      <c r="H21" s="27">
        <f>F21*AN21</f>
        <v>0</v>
      </c>
      <c r="I21" s="27">
        <f>F21*AO21</f>
        <v>0</v>
      </c>
      <c r="J21" s="27">
        <f>F21*G21</f>
        <v>0</v>
      </c>
      <c r="K21" s="27">
        <v>0</v>
      </c>
      <c r="L21" s="27">
        <f>F21*K21</f>
        <v>0</v>
      </c>
      <c r="M21" s="5"/>
      <c r="Y21" s="41">
        <f>IF(AP21="5",BI21,0)</f>
        <v>0</v>
      </c>
      <c r="AA21" s="41">
        <f>IF(AP21="1",BG21,0)</f>
        <v>0</v>
      </c>
      <c r="AB21" s="41">
        <f>IF(AP21="1",BH21,0)</f>
        <v>0</v>
      </c>
      <c r="AC21" s="41">
        <f>IF(AP21="7",BG21,0)</f>
        <v>0</v>
      </c>
      <c r="AD21" s="41">
        <f>IF(AP21="7",BH21,0)</f>
        <v>0</v>
      </c>
      <c r="AE21" s="41">
        <f>IF(AP21="2",BG21,0)</f>
        <v>0</v>
      </c>
      <c r="AF21" s="41">
        <f>IF(AP21="2",BH21,0)</f>
        <v>0</v>
      </c>
      <c r="AG21" s="41">
        <f>IF(AP21="0",BI21,0)</f>
        <v>0</v>
      </c>
      <c r="AH21" s="38"/>
      <c r="AI21" s="27">
        <f>IF(AM21=0,J21,0)</f>
        <v>0</v>
      </c>
      <c r="AJ21" s="27">
        <f>IF(AM21=15,J21,0)</f>
        <v>0</v>
      </c>
      <c r="AK21" s="27">
        <f>IF(AM21=21,J21,0)</f>
        <v>0</v>
      </c>
      <c r="AM21" s="41">
        <v>21</v>
      </c>
      <c r="AN21" s="41">
        <f>G21*0</f>
        <v>0</v>
      </c>
      <c r="AO21" s="41">
        <f>G21*(1-0)</f>
        <v>0</v>
      </c>
      <c r="AP21" s="42" t="s">
        <v>7</v>
      </c>
      <c r="AU21" s="41">
        <f>AV21+AW21</f>
        <v>0</v>
      </c>
      <c r="AV21" s="41">
        <f>F21*AN21</f>
        <v>0</v>
      </c>
      <c r="AW21" s="41">
        <f>F21*AO21</f>
        <v>0</v>
      </c>
      <c r="AX21" s="44" t="s">
        <v>218</v>
      </c>
      <c r="AY21" s="44" t="s">
        <v>230</v>
      </c>
      <c r="AZ21" s="38" t="s">
        <v>235</v>
      </c>
      <c r="BB21" s="41">
        <f>AV21+AW21</f>
        <v>0</v>
      </c>
      <c r="BC21" s="41">
        <f>G21/(100-BD21)*100</f>
        <v>0</v>
      </c>
      <c r="BD21" s="41">
        <v>0</v>
      </c>
      <c r="BE21" s="41">
        <f>L21</f>
        <v>0</v>
      </c>
      <c r="BG21" s="27">
        <f>F21*AN21</f>
        <v>0</v>
      </c>
      <c r="BH21" s="27">
        <f>F21*AO21</f>
        <v>0</v>
      </c>
      <c r="BI21" s="27">
        <f>F21*G21</f>
        <v>0</v>
      </c>
      <c r="BJ21" s="27" t="s">
        <v>240</v>
      </c>
      <c r="BK21" s="41" t="s">
        <v>53</v>
      </c>
    </row>
    <row r="22" spans="1:63" x14ac:dyDescent="0.25">
      <c r="A22" s="5"/>
      <c r="C22" s="18" t="s">
        <v>49</v>
      </c>
      <c r="D22" s="109" t="s">
        <v>110</v>
      </c>
      <c r="E22" s="110"/>
      <c r="F22" s="110"/>
      <c r="G22" s="110"/>
      <c r="H22" s="110"/>
      <c r="I22" s="110"/>
      <c r="J22" s="110"/>
      <c r="K22" s="110"/>
      <c r="L22" s="110"/>
      <c r="M22" s="5"/>
    </row>
    <row r="23" spans="1:63" x14ac:dyDescent="0.25">
      <c r="A23" s="79" t="s">
        <v>12</v>
      </c>
      <c r="B23" s="79"/>
      <c r="C23" s="79" t="s">
        <v>54</v>
      </c>
      <c r="D23" s="79" t="s">
        <v>111</v>
      </c>
      <c r="E23" s="79" t="s">
        <v>186</v>
      </c>
      <c r="F23" s="80">
        <v>1</v>
      </c>
      <c r="G23" s="143"/>
      <c r="H23" s="80">
        <f>F23*AN23</f>
        <v>0</v>
      </c>
      <c r="I23" s="80">
        <f>F23*AO23</f>
        <v>0</v>
      </c>
      <c r="J23" s="80">
        <f>F23*G23</f>
        <v>0</v>
      </c>
      <c r="K23" s="80">
        <v>0</v>
      </c>
      <c r="L23" s="80">
        <f>F23*K23</f>
        <v>0</v>
      </c>
      <c r="M23" s="81"/>
      <c r="Y23" s="41">
        <f>IF(AP23="5",BI23,0)</f>
        <v>0</v>
      </c>
      <c r="AA23" s="41">
        <f>IF(AP23="1",BG23,0)</f>
        <v>0</v>
      </c>
      <c r="AB23" s="41">
        <f>IF(AP23="1",BH23,0)</f>
        <v>0</v>
      </c>
      <c r="AC23" s="41">
        <f>IF(AP23="7",BG23,0)</f>
        <v>0</v>
      </c>
      <c r="AD23" s="41">
        <f>IF(AP23="7",BH23,0)</f>
        <v>0</v>
      </c>
      <c r="AE23" s="41">
        <f>IF(AP23="2",BG23,0)</f>
        <v>0</v>
      </c>
      <c r="AF23" s="41">
        <f>IF(AP23="2",BH23,0)</f>
        <v>0</v>
      </c>
      <c r="AG23" s="41">
        <f>IF(AP23="0",BI23,0)</f>
        <v>0</v>
      </c>
      <c r="AH23" s="38"/>
      <c r="AI23" s="27">
        <f>IF(AM23=0,J23,0)</f>
        <v>0</v>
      </c>
      <c r="AJ23" s="27">
        <f>IF(AM23=15,J23,0)</f>
        <v>0</v>
      </c>
      <c r="AK23" s="27">
        <f>IF(AM23=21,J23,0)</f>
        <v>0</v>
      </c>
      <c r="AM23" s="41">
        <v>21</v>
      </c>
      <c r="AN23" s="41">
        <f>G23*0</f>
        <v>0</v>
      </c>
      <c r="AO23" s="41">
        <f>G23*(1-0)</f>
        <v>0</v>
      </c>
      <c r="AP23" s="42" t="s">
        <v>7</v>
      </c>
      <c r="AU23" s="41">
        <f>AV23+AW23</f>
        <v>0</v>
      </c>
      <c r="AV23" s="41">
        <f>F23*AN23</f>
        <v>0</v>
      </c>
      <c r="AW23" s="41">
        <f>F23*AO23</f>
        <v>0</v>
      </c>
      <c r="AX23" s="44" t="s">
        <v>218</v>
      </c>
      <c r="AY23" s="44" t="s">
        <v>230</v>
      </c>
      <c r="AZ23" s="38" t="s">
        <v>235</v>
      </c>
      <c r="BB23" s="41">
        <f>AV23+AW23</f>
        <v>0</v>
      </c>
      <c r="BC23" s="41">
        <f>G23/(100-BD23)*100</f>
        <v>0</v>
      </c>
      <c r="BD23" s="41">
        <v>0</v>
      </c>
      <c r="BE23" s="41">
        <f>L23</f>
        <v>0</v>
      </c>
      <c r="BG23" s="27">
        <f>F23*AN23</f>
        <v>0</v>
      </c>
      <c r="BH23" s="27">
        <f>F23*AO23</f>
        <v>0</v>
      </c>
      <c r="BI23" s="27">
        <f>F23*G23</f>
        <v>0</v>
      </c>
      <c r="BJ23" s="27" t="s">
        <v>240</v>
      </c>
      <c r="BK23" s="41" t="s">
        <v>53</v>
      </c>
    </row>
    <row r="24" spans="1:63" x14ac:dyDescent="0.25">
      <c r="A24" s="5"/>
      <c r="C24" s="18" t="s">
        <v>49</v>
      </c>
      <c r="D24" s="109" t="s">
        <v>112</v>
      </c>
      <c r="E24" s="110"/>
      <c r="F24" s="110"/>
      <c r="G24" s="110"/>
      <c r="H24" s="110"/>
      <c r="I24" s="110"/>
      <c r="J24" s="110"/>
      <c r="K24" s="110"/>
      <c r="L24" s="110"/>
      <c r="M24" s="5"/>
    </row>
    <row r="25" spans="1:63" x14ac:dyDescent="0.25">
      <c r="A25" s="82" t="s">
        <v>13</v>
      </c>
      <c r="B25" s="82"/>
      <c r="C25" s="82" t="s">
        <v>54</v>
      </c>
      <c r="D25" s="82" t="s">
        <v>113</v>
      </c>
      <c r="E25" s="82" t="s">
        <v>186</v>
      </c>
      <c r="F25" s="83">
        <v>1</v>
      </c>
      <c r="G25" s="144"/>
      <c r="H25" s="83">
        <f>F25*AN25</f>
        <v>0</v>
      </c>
      <c r="I25" s="83">
        <f>F25*AO25</f>
        <v>0</v>
      </c>
      <c r="J25" s="83">
        <f>F25*G25</f>
        <v>0</v>
      </c>
      <c r="K25" s="83">
        <v>0</v>
      </c>
      <c r="L25" s="83">
        <f>F25*K25</f>
        <v>0</v>
      </c>
      <c r="M25" s="81"/>
      <c r="Y25" s="41">
        <f>IF(AP25="5",BI25,0)</f>
        <v>0</v>
      </c>
      <c r="AA25" s="41">
        <f>IF(AP25="1",BG25,0)</f>
        <v>0</v>
      </c>
      <c r="AB25" s="41">
        <f>IF(AP25="1",BH25,0)</f>
        <v>0</v>
      </c>
      <c r="AC25" s="41">
        <f>IF(AP25="7",BG25,0)</f>
        <v>0</v>
      </c>
      <c r="AD25" s="41">
        <f>IF(AP25="7",BH25,0)</f>
        <v>0</v>
      </c>
      <c r="AE25" s="41">
        <f>IF(AP25="2",BG25,0)</f>
        <v>0</v>
      </c>
      <c r="AF25" s="41">
        <f>IF(AP25="2",BH25,0)</f>
        <v>0</v>
      </c>
      <c r="AG25" s="41">
        <f>IF(AP25="0",BI25,0)</f>
        <v>0</v>
      </c>
      <c r="AH25" s="38"/>
      <c r="AI25" s="27">
        <f>IF(AM25=0,J25,0)</f>
        <v>0</v>
      </c>
      <c r="AJ25" s="27">
        <f>IF(AM25=15,J25,0)</f>
        <v>0</v>
      </c>
      <c r="AK25" s="27">
        <f>IF(AM25=21,J25,0)</f>
        <v>0</v>
      </c>
      <c r="AM25" s="41">
        <v>21</v>
      </c>
      <c r="AN25" s="41">
        <f>G25*0</f>
        <v>0</v>
      </c>
      <c r="AO25" s="41">
        <f>G25*(1-0)</f>
        <v>0</v>
      </c>
      <c r="AP25" s="42" t="s">
        <v>7</v>
      </c>
      <c r="AU25" s="41">
        <f>AV25+AW25</f>
        <v>0</v>
      </c>
      <c r="AV25" s="41">
        <f>F25*AN25</f>
        <v>0</v>
      </c>
      <c r="AW25" s="41">
        <f>F25*AO25</f>
        <v>0</v>
      </c>
      <c r="AX25" s="44" t="s">
        <v>218</v>
      </c>
      <c r="AY25" s="44" t="s">
        <v>230</v>
      </c>
      <c r="AZ25" s="38" t="s">
        <v>235</v>
      </c>
      <c r="BB25" s="41">
        <f>AV25+AW25</f>
        <v>0</v>
      </c>
      <c r="BC25" s="41">
        <f>G25/(100-BD25)*100</f>
        <v>0</v>
      </c>
      <c r="BD25" s="41">
        <v>0</v>
      </c>
      <c r="BE25" s="41">
        <f>L25</f>
        <v>0</v>
      </c>
      <c r="BG25" s="27">
        <f>F25*AN25</f>
        <v>0</v>
      </c>
      <c r="BH25" s="27">
        <f>F25*AO25</f>
        <v>0</v>
      </c>
      <c r="BI25" s="27">
        <f>F25*G25</f>
        <v>0</v>
      </c>
      <c r="BJ25" s="27" t="s">
        <v>240</v>
      </c>
      <c r="BK25" s="41" t="s">
        <v>53</v>
      </c>
    </row>
    <row r="26" spans="1:63" x14ac:dyDescent="0.25">
      <c r="A26" s="5"/>
      <c r="C26" s="18" t="s">
        <v>49</v>
      </c>
      <c r="D26" s="109" t="s">
        <v>114</v>
      </c>
      <c r="E26" s="110"/>
      <c r="F26" s="110"/>
      <c r="G26" s="110"/>
      <c r="H26" s="110"/>
      <c r="I26" s="110"/>
      <c r="J26" s="110"/>
      <c r="K26" s="110"/>
      <c r="L26" s="110"/>
      <c r="M26" s="5"/>
    </row>
    <row r="27" spans="1:63" x14ac:dyDescent="0.25">
      <c r="A27" s="4" t="s">
        <v>14</v>
      </c>
      <c r="B27" s="14"/>
      <c r="C27" s="14" t="s">
        <v>54</v>
      </c>
      <c r="D27" s="14" t="s">
        <v>115</v>
      </c>
      <c r="E27" s="14" t="s">
        <v>186</v>
      </c>
      <c r="F27" s="27">
        <v>1</v>
      </c>
      <c r="G27" s="142"/>
      <c r="H27" s="27">
        <f>F27*AN27</f>
        <v>0</v>
      </c>
      <c r="I27" s="27">
        <f>F27*AO27</f>
        <v>0</v>
      </c>
      <c r="J27" s="27">
        <f>F27*G27</f>
        <v>0</v>
      </c>
      <c r="K27" s="27">
        <v>0</v>
      </c>
      <c r="L27" s="27">
        <f>F27*K27</f>
        <v>0</v>
      </c>
      <c r="M27" s="5"/>
      <c r="Y27" s="41">
        <f>IF(AP27="5",BI27,0)</f>
        <v>0</v>
      </c>
      <c r="AA27" s="41">
        <f>IF(AP27="1",BG27,0)</f>
        <v>0</v>
      </c>
      <c r="AB27" s="41">
        <f>IF(AP27="1",BH27,0)</f>
        <v>0</v>
      </c>
      <c r="AC27" s="41">
        <f>IF(AP27="7",BG27,0)</f>
        <v>0</v>
      </c>
      <c r="AD27" s="41">
        <f>IF(AP27="7",BH27,0)</f>
        <v>0</v>
      </c>
      <c r="AE27" s="41">
        <f>IF(AP27="2",BG27,0)</f>
        <v>0</v>
      </c>
      <c r="AF27" s="41">
        <f>IF(AP27="2",BH27,0)</f>
        <v>0</v>
      </c>
      <c r="AG27" s="41">
        <f>IF(AP27="0",BI27,0)</f>
        <v>0</v>
      </c>
      <c r="AH27" s="38"/>
      <c r="AI27" s="27">
        <f>IF(AM27=0,J27,0)</f>
        <v>0</v>
      </c>
      <c r="AJ27" s="27">
        <f>IF(AM27=15,J27,0)</f>
        <v>0</v>
      </c>
      <c r="AK27" s="27">
        <f>IF(AM27=21,J27,0)</f>
        <v>0</v>
      </c>
      <c r="AM27" s="41">
        <v>21</v>
      </c>
      <c r="AN27" s="41">
        <f>G27*0</f>
        <v>0</v>
      </c>
      <c r="AO27" s="41">
        <f>G27*(1-0)</f>
        <v>0</v>
      </c>
      <c r="AP27" s="42" t="s">
        <v>7</v>
      </c>
      <c r="AU27" s="41">
        <f>AV27+AW27</f>
        <v>0</v>
      </c>
      <c r="AV27" s="41">
        <f>F27*AN27</f>
        <v>0</v>
      </c>
      <c r="AW27" s="41">
        <f>F27*AO27</f>
        <v>0</v>
      </c>
      <c r="AX27" s="44" t="s">
        <v>218</v>
      </c>
      <c r="AY27" s="44" t="s">
        <v>230</v>
      </c>
      <c r="AZ27" s="38" t="s">
        <v>235</v>
      </c>
      <c r="BB27" s="41">
        <f>AV27+AW27</f>
        <v>0</v>
      </c>
      <c r="BC27" s="41">
        <f>G27/(100-BD27)*100</f>
        <v>0</v>
      </c>
      <c r="BD27" s="41">
        <v>0</v>
      </c>
      <c r="BE27" s="41">
        <f>L27</f>
        <v>0</v>
      </c>
      <c r="BG27" s="27">
        <f>F27*AN27</f>
        <v>0</v>
      </c>
      <c r="BH27" s="27">
        <f>F27*AO27</f>
        <v>0</v>
      </c>
      <c r="BI27" s="27">
        <f>F27*G27</f>
        <v>0</v>
      </c>
      <c r="BJ27" s="27" t="s">
        <v>240</v>
      </c>
      <c r="BK27" s="41" t="s">
        <v>53</v>
      </c>
    </row>
    <row r="28" spans="1:63" ht="25.65" customHeight="1" x14ac:dyDescent="0.25">
      <c r="A28" s="5"/>
      <c r="C28" s="18" t="s">
        <v>49</v>
      </c>
      <c r="D28" s="109" t="s">
        <v>116</v>
      </c>
      <c r="E28" s="110"/>
      <c r="F28" s="110"/>
      <c r="G28" s="110"/>
      <c r="H28" s="110"/>
      <c r="I28" s="110"/>
      <c r="J28" s="110"/>
      <c r="K28" s="110"/>
      <c r="L28" s="110"/>
      <c r="M28" s="5"/>
    </row>
    <row r="29" spans="1:63" x14ac:dyDescent="0.25">
      <c r="A29" s="4" t="s">
        <v>15</v>
      </c>
      <c r="B29" s="14"/>
      <c r="C29" s="14" t="s">
        <v>54</v>
      </c>
      <c r="D29" s="14" t="s">
        <v>117</v>
      </c>
      <c r="E29" s="14" t="s">
        <v>186</v>
      </c>
      <c r="F29" s="27">
        <v>1</v>
      </c>
      <c r="G29" s="142"/>
      <c r="H29" s="27">
        <f>F29*AN29</f>
        <v>0</v>
      </c>
      <c r="I29" s="27">
        <f>F29*AO29</f>
        <v>0</v>
      </c>
      <c r="J29" s="27">
        <f>F29*G29</f>
        <v>0</v>
      </c>
      <c r="K29" s="27">
        <v>0</v>
      </c>
      <c r="L29" s="27">
        <f>F29*K29</f>
        <v>0</v>
      </c>
      <c r="M29" s="5"/>
      <c r="Y29" s="41">
        <f>IF(AP29="5",BI29,0)</f>
        <v>0</v>
      </c>
      <c r="AA29" s="41">
        <f>IF(AP29="1",BG29,0)</f>
        <v>0</v>
      </c>
      <c r="AB29" s="41">
        <f>IF(AP29="1",BH29,0)</f>
        <v>0</v>
      </c>
      <c r="AC29" s="41">
        <f>IF(AP29="7",BG29,0)</f>
        <v>0</v>
      </c>
      <c r="AD29" s="41">
        <f>IF(AP29="7",BH29,0)</f>
        <v>0</v>
      </c>
      <c r="AE29" s="41">
        <f>IF(AP29="2",BG29,0)</f>
        <v>0</v>
      </c>
      <c r="AF29" s="41">
        <f>IF(AP29="2",BH29,0)</f>
        <v>0</v>
      </c>
      <c r="AG29" s="41">
        <f>IF(AP29="0",BI29,0)</f>
        <v>0</v>
      </c>
      <c r="AH29" s="38"/>
      <c r="AI29" s="27">
        <f>IF(AM29=0,J29,0)</f>
        <v>0</v>
      </c>
      <c r="AJ29" s="27">
        <f>IF(AM29=15,J29,0)</f>
        <v>0</v>
      </c>
      <c r="AK29" s="27">
        <f>IF(AM29=21,J29,0)</f>
        <v>0</v>
      </c>
      <c r="AM29" s="41">
        <v>21</v>
      </c>
      <c r="AN29" s="41">
        <f>G29*0</f>
        <v>0</v>
      </c>
      <c r="AO29" s="41">
        <f>G29*(1-0)</f>
        <v>0</v>
      </c>
      <c r="AP29" s="42" t="s">
        <v>7</v>
      </c>
      <c r="AU29" s="41">
        <f>AV29+AW29</f>
        <v>0</v>
      </c>
      <c r="AV29" s="41">
        <f>F29*AN29</f>
        <v>0</v>
      </c>
      <c r="AW29" s="41">
        <f>F29*AO29</f>
        <v>0</v>
      </c>
      <c r="AX29" s="44" t="s">
        <v>218</v>
      </c>
      <c r="AY29" s="44" t="s">
        <v>230</v>
      </c>
      <c r="AZ29" s="38" t="s">
        <v>235</v>
      </c>
      <c r="BB29" s="41">
        <f>AV29+AW29</f>
        <v>0</v>
      </c>
      <c r="BC29" s="41">
        <f>G29/(100-BD29)*100</f>
        <v>0</v>
      </c>
      <c r="BD29" s="41">
        <v>0</v>
      </c>
      <c r="BE29" s="41">
        <f>L29</f>
        <v>0</v>
      </c>
      <c r="BG29" s="27">
        <f>F29*AN29</f>
        <v>0</v>
      </c>
      <c r="BH29" s="27">
        <f>F29*AO29</f>
        <v>0</v>
      </c>
      <c r="BI29" s="27">
        <f>F29*G29</f>
        <v>0</v>
      </c>
      <c r="BJ29" s="27" t="s">
        <v>240</v>
      </c>
      <c r="BK29" s="41" t="s">
        <v>53</v>
      </c>
    </row>
    <row r="30" spans="1:63" x14ac:dyDescent="0.25">
      <c r="A30" s="5"/>
      <c r="C30" s="18" t="s">
        <v>49</v>
      </c>
      <c r="D30" s="109" t="s">
        <v>118</v>
      </c>
      <c r="E30" s="110"/>
      <c r="F30" s="110"/>
      <c r="G30" s="110"/>
      <c r="H30" s="110"/>
      <c r="I30" s="110"/>
      <c r="J30" s="110"/>
      <c r="K30" s="110"/>
      <c r="L30" s="110"/>
      <c r="M30" s="5"/>
    </row>
    <row r="31" spans="1:63" x14ac:dyDescent="0.25">
      <c r="A31" s="6"/>
      <c r="B31" s="15"/>
      <c r="C31" s="15" t="s">
        <v>17</v>
      </c>
      <c r="D31" s="15" t="s">
        <v>119</v>
      </c>
      <c r="E31" s="25" t="s">
        <v>6</v>
      </c>
      <c r="F31" s="25" t="s">
        <v>6</v>
      </c>
      <c r="G31" s="25" t="s">
        <v>6</v>
      </c>
      <c r="H31" s="47">
        <f>SUM(H32:H43)</f>
        <v>0</v>
      </c>
      <c r="I31" s="47">
        <f>SUM(I32:I43)</f>
        <v>0</v>
      </c>
      <c r="J31" s="47">
        <f>SUM(J32:J43)</f>
        <v>0</v>
      </c>
      <c r="K31" s="38"/>
      <c r="L31" s="47">
        <f>SUM(L32:L43)</f>
        <v>71.293000000000006</v>
      </c>
      <c r="M31" s="5"/>
      <c r="AH31" s="38"/>
      <c r="AR31" s="47">
        <f>SUM(AI32:AI43)</f>
        <v>0</v>
      </c>
      <c r="AS31" s="47">
        <f>SUM(AJ32:AJ43)</f>
        <v>0</v>
      </c>
      <c r="AT31" s="47">
        <f>SUM(AK32:AK43)</f>
        <v>0</v>
      </c>
    </row>
    <row r="32" spans="1:63" x14ac:dyDescent="0.25">
      <c r="A32" s="4" t="s">
        <v>16</v>
      </c>
      <c r="B32" s="14"/>
      <c r="C32" s="14" t="s">
        <v>55</v>
      </c>
      <c r="D32" s="14" t="s">
        <v>120</v>
      </c>
      <c r="E32" s="14" t="s">
        <v>187</v>
      </c>
      <c r="F32" s="27">
        <v>3</v>
      </c>
      <c r="G32" s="142"/>
      <c r="H32" s="27">
        <f>F32*AN32</f>
        <v>0</v>
      </c>
      <c r="I32" s="27">
        <f>F32*AO32</f>
        <v>0</v>
      </c>
      <c r="J32" s="27">
        <f>F32*G32</f>
        <v>0</v>
      </c>
      <c r="K32" s="27">
        <v>0.13800000000000001</v>
      </c>
      <c r="L32" s="27">
        <f>F32*K32</f>
        <v>0.41400000000000003</v>
      </c>
      <c r="M32" s="5"/>
      <c r="Y32" s="41">
        <f>IF(AP32="5",BI32,0)</f>
        <v>0</v>
      </c>
      <c r="AA32" s="41">
        <f>IF(AP32="1",BG32,0)</f>
        <v>0</v>
      </c>
      <c r="AB32" s="41">
        <f>IF(AP32="1",BH32,0)</f>
        <v>0</v>
      </c>
      <c r="AC32" s="41">
        <f>IF(AP32="7",BG32,0)</f>
        <v>0</v>
      </c>
      <c r="AD32" s="41">
        <f>IF(AP32="7",BH32,0)</f>
        <v>0</v>
      </c>
      <c r="AE32" s="41">
        <f>IF(AP32="2",BG32,0)</f>
        <v>0</v>
      </c>
      <c r="AF32" s="41">
        <f>IF(AP32="2",BH32,0)</f>
        <v>0</v>
      </c>
      <c r="AG32" s="41">
        <f>IF(AP32="0",BI32,0)</f>
        <v>0</v>
      </c>
      <c r="AH32" s="38"/>
      <c r="AI32" s="27">
        <f>IF(AM32=0,J32,0)</f>
        <v>0</v>
      </c>
      <c r="AJ32" s="27">
        <f>IF(AM32=15,J32,0)</f>
        <v>0</v>
      </c>
      <c r="AK32" s="27">
        <f>IF(AM32=21,J32,0)</f>
        <v>0</v>
      </c>
      <c r="AM32" s="41">
        <v>21</v>
      </c>
      <c r="AN32" s="41">
        <f>G32*0</f>
        <v>0</v>
      </c>
      <c r="AO32" s="41">
        <f>G32*(1-0)</f>
        <v>0</v>
      </c>
      <c r="AP32" s="42" t="s">
        <v>7</v>
      </c>
      <c r="AU32" s="41">
        <f>AV32+AW32</f>
        <v>0</v>
      </c>
      <c r="AV32" s="41">
        <f>F32*AN32</f>
        <v>0</v>
      </c>
      <c r="AW32" s="41">
        <f>F32*AO32</f>
        <v>0</v>
      </c>
      <c r="AX32" s="44" t="s">
        <v>219</v>
      </c>
      <c r="AY32" s="44" t="s">
        <v>231</v>
      </c>
      <c r="AZ32" s="38" t="s">
        <v>235</v>
      </c>
      <c r="BB32" s="41">
        <f>AV32+AW32</f>
        <v>0</v>
      </c>
      <c r="BC32" s="41">
        <f>G32/(100-BD32)*100</f>
        <v>0</v>
      </c>
      <c r="BD32" s="41">
        <v>0</v>
      </c>
      <c r="BE32" s="41">
        <f>L32</f>
        <v>0.41400000000000003</v>
      </c>
      <c r="BG32" s="27">
        <f>F32*AN32</f>
        <v>0</v>
      </c>
      <c r="BH32" s="27">
        <f>F32*AO32</f>
        <v>0</v>
      </c>
      <c r="BI32" s="27">
        <f>F32*G32</f>
        <v>0</v>
      </c>
      <c r="BJ32" s="27" t="s">
        <v>240</v>
      </c>
      <c r="BK32" s="41">
        <v>11</v>
      </c>
    </row>
    <row r="33" spans="1:63" x14ac:dyDescent="0.25">
      <c r="A33" s="5"/>
      <c r="C33" s="19" t="s">
        <v>56</v>
      </c>
      <c r="D33" s="104" t="s">
        <v>297</v>
      </c>
      <c r="E33" s="105"/>
      <c r="F33" s="105"/>
      <c r="G33" s="105"/>
      <c r="H33" s="105"/>
      <c r="I33" s="105"/>
      <c r="J33" s="105"/>
      <c r="K33" s="105"/>
      <c r="L33" s="105"/>
      <c r="M33" s="5"/>
    </row>
    <row r="34" spans="1:63" x14ac:dyDescent="0.25">
      <c r="A34" s="4" t="s">
        <v>17</v>
      </c>
      <c r="B34" s="14"/>
      <c r="C34" s="14" t="s">
        <v>57</v>
      </c>
      <c r="D34" s="14" t="s">
        <v>121</v>
      </c>
      <c r="E34" s="14" t="s">
        <v>187</v>
      </c>
      <c r="F34" s="27">
        <v>251</v>
      </c>
      <c r="G34" s="142"/>
      <c r="H34" s="27">
        <f>F34*AN34</f>
        <v>0</v>
      </c>
      <c r="I34" s="27">
        <f>F34*AO34</f>
        <v>0</v>
      </c>
      <c r="J34" s="27">
        <f>F34*G34</f>
        <v>0</v>
      </c>
      <c r="K34" s="27">
        <v>0.11</v>
      </c>
      <c r="L34" s="27">
        <f>F34*K34</f>
        <v>27.61</v>
      </c>
      <c r="M34" s="5"/>
      <c r="Y34" s="41">
        <f>IF(AP34="5",BI34,0)</f>
        <v>0</v>
      </c>
      <c r="AA34" s="41">
        <f>IF(AP34="1",BG34,0)</f>
        <v>0</v>
      </c>
      <c r="AB34" s="41">
        <f>IF(AP34="1",BH34,0)</f>
        <v>0</v>
      </c>
      <c r="AC34" s="41">
        <f>IF(AP34="7",BG34,0)</f>
        <v>0</v>
      </c>
      <c r="AD34" s="41">
        <f>IF(AP34="7",BH34,0)</f>
        <v>0</v>
      </c>
      <c r="AE34" s="41">
        <f>IF(AP34="2",BG34,0)</f>
        <v>0</v>
      </c>
      <c r="AF34" s="41">
        <f>IF(AP34="2",BH34,0)</f>
        <v>0</v>
      </c>
      <c r="AG34" s="41">
        <f>IF(AP34="0",BI34,0)</f>
        <v>0</v>
      </c>
      <c r="AH34" s="38"/>
      <c r="AI34" s="27">
        <f>IF(AM34=0,J34,0)</f>
        <v>0</v>
      </c>
      <c r="AJ34" s="27">
        <f>IF(AM34=15,J34,0)</f>
        <v>0</v>
      </c>
      <c r="AK34" s="27">
        <f>IF(AM34=21,J34,0)</f>
        <v>0</v>
      </c>
      <c r="AM34" s="41">
        <v>21</v>
      </c>
      <c r="AN34" s="41">
        <f>G34*0</f>
        <v>0</v>
      </c>
      <c r="AO34" s="41">
        <f>G34*(1-0)</f>
        <v>0</v>
      </c>
      <c r="AP34" s="42" t="s">
        <v>7</v>
      </c>
      <c r="AU34" s="41">
        <f>AV34+AW34</f>
        <v>0</v>
      </c>
      <c r="AV34" s="41">
        <f>F34*AN34</f>
        <v>0</v>
      </c>
      <c r="AW34" s="41">
        <f>F34*AO34</f>
        <v>0</v>
      </c>
      <c r="AX34" s="44" t="s">
        <v>219</v>
      </c>
      <c r="AY34" s="44" t="s">
        <v>231</v>
      </c>
      <c r="AZ34" s="38" t="s">
        <v>235</v>
      </c>
      <c r="BB34" s="41">
        <f>AV34+AW34</f>
        <v>0</v>
      </c>
      <c r="BC34" s="41">
        <f>G34/(100-BD34)*100</f>
        <v>0</v>
      </c>
      <c r="BD34" s="41">
        <v>0</v>
      </c>
      <c r="BE34" s="41">
        <f>L34</f>
        <v>27.61</v>
      </c>
      <c r="BG34" s="27">
        <f>F34*AN34</f>
        <v>0</v>
      </c>
      <c r="BH34" s="27">
        <f>F34*AO34</f>
        <v>0</v>
      </c>
      <c r="BI34" s="27">
        <f>F34*G34</f>
        <v>0</v>
      </c>
      <c r="BJ34" s="27" t="s">
        <v>240</v>
      </c>
      <c r="BK34" s="41">
        <v>11</v>
      </c>
    </row>
    <row r="35" spans="1:63" x14ac:dyDescent="0.25">
      <c r="A35" s="5"/>
      <c r="D35" s="21" t="s">
        <v>298</v>
      </c>
      <c r="F35" s="28">
        <v>251</v>
      </c>
      <c r="M35" s="5"/>
    </row>
    <row r="36" spans="1:63" x14ac:dyDescent="0.25">
      <c r="A36" s="4" t="s">
        <v>18</v>
      </c>
      <c r="B36" s="14"/>
      <c r="C36" s="14" t="s">
        <v>58</v>
      </c>
      <c r="D36" s="14" t="s">
        <v>122</v>
      </c>
      <c r="E36" s="14" t="s">
        <v>187</v>
      </c>
      <c r="F36" s="27">
        <v>44</v>
      </c>
      <c r="G36" s="142"/>
      <c r="H36" s="27">
        <f>F36*AN36</f>
        <v>0</v>
      </c>
      <c r="I36" s="27">
        <f>F36*AO36</f>
        <v>0</v>
      </c>
      <c r="J36" s="27">
        <f>F36*G36</f>
        <v>0</v>
      </c>
      <c r="K36" s="27">
        <v>0.6</v>
      </c>
      <c r="L36" s="27">
        <f>F36*K36</f>
        <v>26.4</v>
      </c>
      <c r="M36" s="5"/>
      <c r="Y36" s="41">
        <f>IF(AP36="5",BI36,0)</f>
        <v>0</v>
      </c>
      <c r="AA36" s="41">
        <f>IF(AP36="1",BG36,0)</f>
        <v>0</v>
      </c>
      <c r="AB36" s="41">
        <f>IF(AP36="1",BH36,0)</f>
        <v>0</v>
      </c>
      <c r="AC36" s="41">
        <f>IF(AP36="7",BG36,0)</f>
        <v>0</v>
      </c>
      <c r="AD36" s="41">
        <f>IF(AP36="7",BH36,0)</f>
        <v>0</v>
      </c>
      <c r="AE36" s="41">
        <f>IF(AP36="2",BG36,0)</f>
        <v>0</v>
      </c>
      <c r="AF36" s="41">
        <f>IF(AP36="2",BH36,0)</f>
        <v>0</v>
      </c>
      <c r="AG36" s="41">
        <f>IF(AP36="0",BI36,0)</f>
        <v>0</v>
      </c>
      <c r="AH36" s="38"/>
      <c r="AI36" s="27">
        <f>IF(AM36=0,J36,0)</f>
        <v>0</v>
      </c>
      <c r="AJ36" s="27">
        <f>IF(AM36=15,J36,0)</f>
        <v>0</v>
      </c>
      <c r="AK36" s="27">
        <f>IF(AM36=21,J36,0)</f>
        <v>0</v>
      </c>
      <c r="AM36" s="41">
        <v>21</v>
      </c>
      <c r="AN36" s="41">
        <f>G36*0</f>
        <v>0</v>
      </c>
      <c r="AO36" s="41">
        <f>G36*(1-0)</f>
        <v>0</v>
      </c>
      <c r="AP36" s="42" t="s">
        <v>7</v>
      </c>
      <c r="AU36" s="41">
        <f>AV36+AW36</f>
        <v>0</v>
      </c>
      <c r="AV36" s="41">
        <f>F36*AN36</f>
        <v>0</v>
      </c>
      <c r="AW36" s="41">
        <f>F36*AO36</f>
        <v>0</v>
      </c>
      <c r="AX36" s="44" t="s">
        <v>219</v>
      </c>
      <c r="AY36" s="44" t="s">
        <v>231</v>
      </c>
      <c r="AZ36" s="38" t="s">
        <v>235</v>
      </c>
      <c r="BB36" s="41">
        <f>AV36+AW36</f>
        <v>0</v>
      </c>
      <c r="BC36" s="41">
        <f>G36/(100-BD36)*100</f>
        <v>0</v>
      </c>
      <c r="BD36" s="41">
        <v>0</v>
      </c>
      <c r="BE36" s="41">
        <f>L36</f>
        <v>26.4</v>
      </c>
      <c r="BG36" s="27">
        <f>F36*AN36</f>
        <v>0</v>
      </c>
      <c r="BH36" s="27">
        <f>F36*AO36</f>
        <v>0</v>
      </c>
      <c r="BI36" s="27">
        <f>F36*G36</f>
        <v>0</v>
      </c>
      <c r="BJ36" s="27" t="s">
        <v>240</v>
      </c>
      <c r="BK36" s="41">
        <v>11</v>
      </c>
    </row>
    <row r="37" spans="1:63" x14ac:dyDescent="0.25">
      <c r="A37" s="5"/>
      <c r="C37" s="19" t="s">
        <v>56</v>
      </c>
      <c r="D37" s="104" t="s">
        <v>299</v>
      </c>
      <c r="E37" s="105"/>
      <c r="F37" s="105"/>
      <c r="G37" s="105"/>
      <c r="H37" s="105"/>
      <c r="I37" s="105"/>
      <c r="J37" s="105"/>
      <c r="K37" s="105"/>
      <c r="L37" s="105"/>
      <c r="M37" s="5"/>
    </row>
    <row r="38" spans="1:63" x14ac:dyDescent="0.25">
      <c r="A38" s="5"/>
      <c r="D38" s="21" t="s">
        <v>300</v>
      </c>
      <c r="F38" s="28">
        <v>44</v>
      </c>
      <c r="M38" s="5"/>
    </row>
    <row r="39" spans="1:63" x14ac:dyDescent="0.25">
      <c r="A39" s="4" t="s">
        <v>19</v>
      </c>
      <c r="B39" s="14"/>
      <c r="C39" s="14" t="s">
        <v>59</v>
      </c>
      <c r="D39" s="14" t="s">
        <v>123</v>
      </c>
      <c r="E39" s="14" t="s">
        <v>187</v>
      </c>
      <c r="F39" s="27">
        <v>126</v>
      </c>
      <c r="G39" s="142"/>
      <c r="H39" s="27">
        <f>F39*AN39</f>
        <v>0</v>
      </c>
      <c r="I39" s="27">
        <f>F39*AO39</f>
        <v>0</v>
      </c>
      <c r="J39" s="27">
        <f>F39*G39</f>
        <v>0</v>
      </c>
      <c r="K39" s="27">
        <v>4.3999999999999997E-2</v>
      </c>
      <c r="L39" s="27">
        <f>F39*K39</f>
        <v>5.5439999999999996</v>
      </c>
      <c r="M39" s="5"/>
      <c r="Y39" s="41">
        <f>IF(AP39="5",BI39,0)</f>
        <v>0</v>
      </c>
      <c r="AA39" s="41">
        <f>IF(AP39="1",BG39,0)</f>
        <v>0</v>
      </c>
      <c r="AB39" s="41">
        <f>IF(AP39="1",BH39,0)</f>
        <v>0</v>
      </c>
      <c r="AC39" s="41">
        <f>IF(AP39="7",BG39,0)</f>
        <v>0</v>
      </c>
      <c r="AD39" s="41">
        <f>IF(AP39="7",BH39,0)</f>
        <v>0</v>
      </c>
      <c r="AE39" s="41">
        <f>IF(AP39="2",BG39,0)</f>
        <v>0</v>
      </c>
      <c r="AF39" s="41">
        <f>IF(AP39="2",BH39,0)</f>
        <v>0</v>
      </c>
      <c r="AG39" s="41">
        <f>IF(AP39="0",BI39,0)</f>
        <v>0</v>
      </c>
      <c r="AH39" s="38"/>
      <c r="AI39" s="27">
        <f>IF(AM39=0,J39,0)</f>
        <v>0</v>
      </c>
      <c r="AJ39" s="27">
        <f>IF(AM39=15,J39,0)</f>
        <v>0</v>
      </c>
      <c r="AK39" s="27">
        <f>IF(AM39=21,J39,0)</f>
        <v>0</v>
      </c>
      <c r="AM39" s="41">
        <v>21</v>
      </c>
      <c r="AN39" s="41">
        <f>G39*0</f>
        <v>0</v>
      </c>
      <c r="AO39" s="41">
        <f>G39*(1-0)</f>
        <v>0</v>
      </c>
      <c r="AP39" s="42" t="s">
        <v>7</v>
      </c>
      <c r="AU39" s="41">
        <f>AV39+AW39</f>
        <v>0</v>
      </c>
      <c r="AV39" s="41">
        <f>F39*AN39</f>
        <v>0</v>
      </c>
      <c r="AW39" s="41">
        <f>F39*AO39</f>
        <v>0</v>
      </c>
      <c r="AX39" s="44" t="s">
        <v>219</v>
      </c>
      <c r="AY39" s="44" t="s">
        <v>231</v>
      </c>
      <c r="AZ39" s="38" t="s">
        <v>235</v>
      </c>
      <c r="BB39" s="41">
        <f>AV39+AW39</f>
        <v>0</v>
      </c>
      <c r="BC39" s="41">
        <f>G39/(100-BD39)*100</f>
        <v>0</v>
      </c>
      <c r="BD39" s="41">
        <v>0</v>
      </c>
      <c r="BE39" s="41">
        <f>L39</f>
        <v>5.5439999999999996</v>
      </c>
      <c r="BG39" s="27">
        <f>F39*AN39</f>
        <v>0</v>
      </c>
      <c r="BH39" s="27">
        <f>F39*AO39</f>
        <v>0</v>
      </c>
      <c r="BI39" s="27">
        <f>F39*G39</f>
        <v>0</v>
      </c>
      <c r="BJ39" s="27" t="s">
        <v>240</v>
      </c>
      <c r="BK39" s="41">
        <v>11</v>
      </c>
    </row>
    <row r="40" spans="1:63" x14ac:dyDescent="0.25">
      <c r="A40" s="5"/>
      <c r="D40" s="21" t="s">
        <v>301</v>
      </c>
      <c r="F40" s="28">
        <v>126</v>
      </c>
      <c r="M40" s="5"/>
    </row>
    <row r="41" spans="1:63" x14ac:dyDescent="0.25">
      <c r="A41" s="4" t="s">
        <v>20</v>
      </c>
      <c r="B41" s="14"/>
      <c r="C41" s="14" t="s">
        <v>60</v>
      </c>
      <c r="D41" s="14" t="s">
        <v>124</v>
      </c>
      <c r="E41" s="14" t="s">
        <v>188</v>
      </c>
      <c r="F41" s="27">
        <v>33</v>
      </c>
      <c r="G41" s="142"/>
      <c r="H41" s="27">
        <f>F41*AN41</f>
        <v>0</v>
      </c>
      <c r="I41" s="27">
        <f>F41*AO41</f>
        <v>0</v>
      </c>
      <c r="J41" s="27">
        <f>F41*G41</f>
        <v>0</v>
      </c>
      <c r="K41" s="27">
        <v>0.27</v>
      </c>
      <c r="L41" s="27">
        <f>F41*K41</f>
        <v>8.91</v>
      </c>
      <c r="M41" s="5"/>
      <c r="Y41" s="41">
        <f>IF(AP41="5",BI41,0)</f>
        <v>0</v>
      </c>
      <c r="AA41" s="41">
        <f>IF(AP41="1",BG41,0)</f>
        <v>0</v>
      </c>
      <c r="AB41" s="41">
        <f>IF(AP41="1",BH41,0)</f>
        <v>0</v>
      </c>
      <c r="AC41" s="41">
        <f>IF(AP41="7",BG41,0)</f>
        <v>0</v>
      </c>
      <c r="AD41" s="41">
        <f>IF(AP41="7",BH41,0)</f>
        <v>0</v>
      </c>
      <c r="AE41" s="41">
        <f>IF(AP41="2",BG41,0)</f>
        <v>0</v>
      </c>
      <c r="AF41" s="41">
        <f>IF(AP41="2",BH41,0)</f>
        <v>0</v>
      </c>
      <c r="AG41" s="41">
        <f>IF(AP41="0",BI41,0)</f>
        <v>0</v>
      </c>
      <c r="AH41" s="38"/>
      <c r="AI41" s="27">
        <f>IF(AM41=0,J41,0)</f>
        <v>0</v>
      </c>
      <c r="AJ41" s="27">
        <f>IF(AM41=15,J41,0)</f>
        <v>0</v>
      </c>
      <c r="AK41" s="27">
        <f>IF(AM41=21,J41,0)</f>
        <v>0</v>
      </c>
      <c r="AM41" s="41">
        <v>21</v>
      </c>
      <c r="AN41" s="41">
        <f>G41*0</f>
        <v>0</v>
      </c>
      <c r="AO41" s="41">
        <f>G41*(1-0)</f>
        <v>0</v>
      </c>
      <c r="AP41" s="42" t="s">
        <v>7</v>
      </c>
      <c r="AU41" s="41">
        <f>AV41+AW41</f>
        <v>0</v>
      </c>
      <c r="AV41" s="41">
        <f>F41*AN41</f>
        <v>0</v>
      </c>
      <c r="AW41" s="41">
        <f>F41*AO41</f>
        <v>0</v>
      </c>
      <c r="AX41" s="44" t="s">
        <v>219</v>
      </c>
      <c r="AY41" s="44" t="s">
        <v>231</v>
      </c>
      <c r="AZ41" s="38" t="s">
        <v>235</v>
      </c>
      <c r="BB41" s="41">
        <f>AV41+AW41</f>
        <v>0</v>
      </c>
      <c r="BC41" s="41">
        <f>G41/(100-BD41)*100</f>
        <v>0</v>
      </c>
      <c r="BD41" s="41">
        <v>0</v>
      </c>
      <c r="BE41" s="41">
        <f>L41</f>
        <v>8.91</v>
      </c>
      <c r="BG41" s="27">
        <f>F41*AN41</f>
        <v>0</v>
      </c>
      <c r="BH41" s="27">
        <f>F41*AO41</f>
        <v>0</v>
      </c>
      <c r="BI41" s="27">
        <f>F41*G41</f>
        <v>0</v>
      </c>
      <c r="BJ41" s="27" t="s">
        <v>240</v>
      </c>
      <c r="BK41" s="41">
        <v>11</v>
      </c>
    </row>
    <row r="42" spans="1:63" x14ac:dyDescent="0.25">
      <c r="A42" s="5"/>
      <c r="D42" s="21" t="s">
        <v>39</v>
      </c>
      <c r="F42" s="28">
        <v>33</v>
      </c>
      <c r="M42" s="5"/>
    </row>
    <row r="43" spans="1:63" x14ac:dyDescent="0.25">
      <c r="A43" s="4" t="s">
        <v>21</v>
      </c>
      <c r="B43" s="14"/>
      <c r="C43" s="14" t="s">
        <v>61</v>
      </c>
      <c r="D43" s="14" t="s">
        <v>125</v>
      </c>
      <c r="E43" s="14" t="s">
        <v>188</v>
      </c>
      <c r="F43" s="27">
        <v>21</v>
      </c>
      <c r="G43" s="142"/>
      <c r="H43" s="27">
        <f>F43*AN43</f>
        <v>0</v>
      </c>
      <c r="I43" s="27">
        <f>F43*AO43</f>
        <v>0</v>
      </c>
      <c r="J43" s="27">
        <f>F43*G43</f>
        <v>0</v>
      </c>
      <c r="K43" s="27">
        <v>0.115</v>
      </c>
      <c r="L43" s="27">
        <f>F43*K43</f>
        <v>2.415</v>
      </c>
      <c r="M43" s="5"/>
      <c r="Y43" s="41">
        <f>IF(AP43="5",BI43,0)</f>
        <v>0</v>
      </c>
      <c r="AA43" s="41">
        <f>IF(AP43="1",BG43,0)</f>
        <v>0</v>
      </c>
      <c r="AB43" s="41">
        <f>IF(AP43="1",BH43,0)</f>
        <v>0</v>
      </c>
      <c r="AC43" s="41">
        <f>IF(AP43="7",BG43,0)</f>
        <v>0</v>
      </c>
      <c r="AD43" s="41">
        <f>IF(AP43="7",BH43,0)</f>
        <v>0</v>
      </c>
      <c r="AE43" s="41">
        <f>IF(AP43="2",BG43,0)</f>
        <v>0</v>
      </c>
      <c r="AF43" s="41">
        <f>IF(AP43="2",BH43,0)</f>
        <v>0</v>
      </c>
      <c r="AG43" s="41">
        <f>IF(AP43="0",BI43,0)</f>
        <v>0</v>
      </c>
      <c r="AH43" s="38"/>
      <c r="AI43" s="27">
        <f>IF(AM43=0,J43,0)</f>
        <v>0</v>
      </c>
      <c r="AJ43" s="27">
        <f>IF(AM43=15,J43,0)</f>
        <v>0</v>
      </c>
      <c r="AK43" s="27">
        <f>IF(AM43=21,J43,0)</f>
        <v>0</v>
      </c>
      <c r="AM43" s="41">
        <v>21</v>
      </c>
      <c r="AN43" s="41">
        <f>G43*0</f>
        <v>0</v>
      </c>
      <c r="AO43" s="41">
        <f>G43*(1-0)</f>
        <v>0</v>
      </c>
      <c r="AP43" s="42" t="s">
        <v>7</v>
      </c>
      <c r="AU43" s="41">
        <f>AV43+AW43</f>
        <v>0</v>
      </c>
      <c r="AV43" s="41">
        <f>F43*AN43</f>
        <v>0</v>
      </c>
      <c r="AW43" s="41">
        <f>F43*AO43</f>
        <v>0</v>
      </c>
      <c r="AX43" s="44" t="s">
        <v>219</v>
      </c>
      <c r="AY43" s="44" t="s">
        <v>231</v>
      </c>
      <c r="AZ43" s="38" t="s">
        <v>235</v>
      </c>
      <c r="BB43" s="41">
        <f>AV43+AW43</f>
        <v>0</v>
      </c>
      <c r="BC43" s="41">
        <f>G43/(100-BD43)*100</f>
        <v>0</v>
      </c>
      <c r="BD43" s="41">
        <v>0</v>
      </c>
      <c r="BE43" s="41">
        <f>L43</f>
        <v>2.415</v>
      </c>
      <c r="BG43" s="27">
        <f>F43*AN43</f>
        <v>0</v>
      </c>
      <c r="BH43" s="27">
        <f>F43*AO43</f>
        <v>0</v>
      </c>
      <c r="BI43" s="27">
        <f>F43*G43</f>
        <v>0</v>
      </c>
      <c r="BJ43" s="27" t="s">
        <v>240</v>
      </c>
      <c r="BK43" s="41">
        <v>11</v>
      </c>
    </row>
    <row r="44" spans="1:63" x14ac:dyDescent="0.25">
      <c r="A44" s="5"/>
      <c r="C44" s="19" t="s">
        <v>56</v>
      </c>
      <c r="D44" s="104" t="s">
        <v>126</v>
      </c>
      <c r="E44" s="105"/>
      <c r="F44" s="105"/>
      <c r="G44" s="105"/>
      <c r="H44" s="105"/>
      <c r="I44" s="105"/>
      <c r="J44" s="105"/>
      <c r="K44" s="105"/>
      <c r="L44" s="105"/>
      <c r="M44" s="5"/>
    </row>
    <row r="45" spans="1:63" x14ac:dyDescent="0.25">
      <c r="A45" s="5"/>
      <c r="D45" s="21" t="s">
        <v>27</v>
      </c>
      <c r="F45" s="28">
        <v>22.5</v>
      </c>
      <c r="M45" s="5"/>
    </row>
    <row r="46" spans="1:63" x14ac:dyDescent="0.25">
      <c r="A46" s="6"/>
      <c r="B46" s="15"/>
      <c r="C46" s="15" t="s">
        <v>24</v>
      </c>
      <c r="D46" s="15" t="s">
        <v>127</v>
      </c>
      <c r="E46" s="25" t="s">
        <v>6</v>
      </c>
      <c r="F46" s="25" t="s">
        <v>6</v>
      </c>
      <c r="G46" s="25" t="s">
        <v>6</v>
      </c>
      <c r="H46" s="47">
        <f>SUM(H47:H47)</f>
        <v>0</v>
      </c>
      <c r="I46" s="47">
        <f>SUM(I47:I47)</f>
        <v>0</v>
      </c>
      <c r="J46" s="47">
        <f>SUM(J47:J47)</f>
        <v>0</v>
      </c>
      <c r="K46" s="38"/>
      <c r="L46" s="47">
        <f>SUM(L47:L47)</f>
        <v>0</v>
      </c>
      <c r="M46" s="5"/>
      <c r="AH46" s="38"/>
      <c r="AR46" s="47">
        <f>SUM(AI47:AI47)</f>
        <v>0</v>
      </c>
      <c r="AS46" s="47">
        <f>SUM(AJ47:AJ47)</f>
        <v>0</v>
      </c>
      <c r="AT46" s="47">
        <f>SUM(AK47:AK47)</f>
        <v>0</v>
      </c>
    </row>
    <row r="47" spans="1:63" x14ac:dyDescent="0.25">
      <c r="A47" s="4" t="s">
        <v>22</v>
      </c>
      <c r="B47" s="14"/>
      <c r="C47" s="14" t="s">
        <v>62</v>
      </c>
      <c r="D47" s="14" t="s">
        <v>128</v>
      </c>
      <c r="E47" s="14" t="s">
        <v>187</v>
      </c>
      <c r="F47" s="27">
        <v>44</v>
      </c>
      <c r="G47" s="142"/>
      <c r="H47" s="27">
        <f>F47*AN47</f>
        <v>0</v>
      </c>
      <c r="I47" s="27">
        <f>F47*AO47</f>
        <v>0</v>
      </c>
      <c r="J47" s="27">
        <f>F47*G47</f>
        <v>0</v>
      </c>
      <c r="K47" s="27">
        <v>0</v>
      </c>
      <c r="L47" s="27">
        <f>F47*K47</f>
        <v>0</v>
      </c>
      <c r="M47" s="5"/>
      <c r="Y47" s="41">
        <f>IF(AP47="5",BI47,0)</f>
        <v>0</v>
      </c>
      <c r="AA47" s="41">
        <f>IF(AP47="1",BG47,0)</f>
        <v>0</v>
      </c>
      <c r="AB47" s="41">
        <f>IF(AP47="1",BH47,0)</f>
        <v>0</v>
      </c>
      <c r="AC47" s="41">
        <f>IF(AP47="7",BG47,0)</f>
        <v>0</v>
      </c>
      <c r="AD47" s="41">
        <f>IF(AP47="7",BH47,0)</f>
        <v>0</v>
      </c>
      <c r="AE47" s="41">
        <f>IF(AP47="2",BG47,0)</f>
        <v>0</v>
      </c>
      <c r="AF47" s="41">
        <f>IF(AP47="2",BH47,0)</f>
        <v>0</v>
      </c>
      <c r="AG47" s="41">
        <f>IF(AP47="0",BI47,0)</f>
        <v>0</v>
      </c>
      <c r="AH47" s="38"/>
      <c r="AI47" s="27">
        <f>IF(AM47=0,J47,0)</f>
        <v>0</v>
      </c>
      <c r="AJ47" s="27">
        <f>IF(AM47=15,J47,0)</f>
        <v>0</v>
      </c>
      <c r="AK47" s="27">
        <f>IF(AM47=21,J47,0)</f>
        <v>0</v>
      </c>
      <c r="AM47" s="41">
        <v>21</v>
      </c>
      <c r="AN47" s="41">
        <f>G47*0</f>
        <v>0</v>
      </c>
      <c r="AO47" s="41">
        <f>G47*(1-0)</f>
        <v>0</v>
      </c>
      <c r="AP47" s="42" t="s">
        <v>7</v>
      </c>
      <c r="AU47" s="41">
        <f>AV47+AW47</f>
        <v>0</v>
      </c>
      <c r="AV47" s="41">
        <f>F47*AN47</f>
        <v>0</v>
      </c>
      <c r="AW47" s="41">
        <f>F47*AO47</f>
        <v>0</v>
      </c>
      <c r="AX47" s="44" t="s">
        <v>220</v>
      </c>
      <c r="AY47" s="44" t="s">
        <v>231</v>
      </c>
      <c r="AZ47" s="38" t="s">
        <v>235</v>
      </c>
      <c r="BB47" s="41">
        <f>AV47+AW47</f>
        <v>0</v>
      </c>
      <c r="BC47" s="41">
        <f>G47/(100-BD47)*100</f>
        <v>0</v>
      </c>
      <c r="BD47" s="41">
        <v>0</v>
      </c>
      <c r="BE47" s="41">
        <f>L47</f>
        <v>0</v>
      </c>
      <c r="BG47" s="27">
        <f>F47*AN47</f>
        <v>0</v>
      </c>
      <c r="BH47" s="27">
        <f>F47*AO47</f>
        <v>0</v>
      </c>
      <c r="BI47" s="27">
        <f>F47*G47</f>
        <v>0</v>
      </c>
      <c r="BJ47" s="27" t="s">
        <v>240</v>
      </c>
      <c r="BK47" s="41">
        <v>18</v>
      </c>
    </row>
    <row r="48" spans="1:63" x14ac:dyDescent="0.25">
      <c r="A48" s="5"/>
      <c r="D48" s="21" t="s">
        <v>48</v>
      </c>
      <c r="F48" s="28">
        <v>44</v>
      </c>
      <c r="M48" s="5"/>
    </row>
    <row r="49" spans="1:63" x14ac:dyDescent="0.25">
      <c r="A49" s="6"/>
      <c r="B49" s="15"/>
      <c r="C49" s="15" t="s">
        <v>63</v>
      </c>
      <c r="D49" s="15" t="s">
        <v>129</v>
      </c>
      <c r="E49" s="25" t="s">
        <v>6</v>
      </c>
      <c r="F49" s="25" t="s">
        <v>6</v>
      </c>
      <c r="G49" s="25" t="s">
        <v>6</v>
      </c>
      <c r="H49" s="47">
        <f>SUM(H50:H56)</f>
        <v>0</v>
      </c>
      <c r="I49" s="47">
        <f>SUM(I50:I56)</f>
        <v>0</v>
      </c>
      <c r="J49" s="47">
        <f>SUM(J50:J56)</f>
        <v>0</v>
      </c>
      <c r="K49" s="38"/>
      <c r="L49" s="47">
        <f>SUM(L50:L56)</f>
        <v>31.574400000000001</v>
      </c>
      <c r="M49" s="5"/>
      <c r="AH49" s="38"/>
      <c r="AR49" s="47">
        <f>SUM(AI50:AI56)</f>
        <v>0</v>
      </c>
      <c r="AS49" s="47">
        <f>SUM(AJ50:AJ56)</f>
        <v>0</v>
      </c>
      <c r="AT49" s="47">
        <f>SUM(AK50:AK56)</f>
        <v>0</v>
      </c>
    </row>
    <row r="50" spans="1:63" x14ac:dyDescent="0.25">
      <c r="A50" s="4" t="s">
        <v>23</v>
      </c>
      <c r="B50" s="14"/>
      <c r="C50" s="14" t="s">
        <v>64</v>
      </c>
      <c r="D50" s="14" t="s">
        <v>130</v>
      </c>
      <c r="E50" s="14" t="s">
        <v>187</v>
      </c>
      <c r="F50" s="27">
        <v>13.2</v>
      </c>
      <c r="G50" s="142"/>
      <c r="H50" s="27">
        <f>F50*AN50</f>
        <v>0</v>
      </c>
      <c r="I50" s="27">
        <f>F50*AO50</f>
        <v>0</v>
      </c>
      <c r="J50" s="27">
        <f>F50*G50</f>
        <v>0</v>
      </c>
      <c r="K50" s="27">
        <v>0.17199999999999999</v>
      </c>
      <c r="L50" s="27">
        <f>F50*K50</f>
        <v>2.2703999999999995</v>
      </c>
      <c r="M50" s="5"/>
      <c r="Y50" s="41">
        <f>IF(AP50="5",BI50,0)</f>
        <v>0</v>
      </c>
      <c r="AA50" s="41">
        <f>IF(AP50="1",BG50,0)</f>
        <v>0</v>
      </c>
      <c r="AB50" s="41">
        <f>IF(AP50="1",BH50,0)</f>
        <v>0</v>
      </c>
      <c r="AC50" s="41">
        <f>IF(AP50="7",BG50,0)</f>
        <v>0</v>
      </c>
      <c r="AD50" s="41">
        <f>IF(AP50="7",BH50,0)</f>
        <v>0</v>
      </c>
      <c r="AE50" s="41">
        <f>IF(AP50="2",BG50,0)</f>
        <v>0</v>
      </c>
      <c r="AF50" s="41">
        <f>IF(AP50="2",BH50,0)</f>
        <v>0</v>
      </c>
      <c r="AG50" s="41">
        <f>IF(AP50="0",BI50,0)</f>
        <v>0</v>
      </c>
      <c r="AH50" s="38"/>
      <c r="AI50" s="27">
        <f>IF(AM50=0,J50,0)</f>
        <v>0</v>
      </c>
      <c r="AJ50" s="27">
        <f>IF(AM50=15,J50,0)</f>
        <v>0</v>
      </c>
      <c r="AK50" s="27">
        <f>IF(AM50=21,J50,0)</f>
        <v>0</v>
      </c>
      <c r="AM50" s="41">
        <v>21</v>
      </c>
      <c r="AN50" s="41">
        <f>G50*0.763108991175769</f>
        <v>0</v>
      </c>
      <c r="AO50" s="41">
        <f>G50*(1-0.763108991175769)</f>
        <v>0</v>
      </c>
      <c r="AP50" s="42" t="s">
        <v>7</v>
      </c>
      <c r="AU50" s="41">
        <f>AV50+AW50</f>
        <v>0</v>
      </c>
      <c r="AV50" s="41">
        <f>F50*AN50</f>
        <v>0</v>
      </c>
      <c r="AW50" s="41">
        <f>F50*AO50</f>
        <v>0</v>
      </c>
      <c r="AX50" s="44" t="s">
        <v>221</v>
      </c>
      <c r="AY50" s="44" t="s">
        <v>232</v>
      </c>
      <c r="AZ50" s="38" t="s">
        <v>235</v>
      </c>
      <c r="BB50" s="41">
        <f>AV50+AW50</f>
        <v>0</v>
      </c>
      <c r="BC50" s="41">
        <f>G50/(100-BD50)*100</f>
        <v>0</v>
      </c>
      <c r="BD50" s="41">
        <v>0</v>
      </c>
      <c r="BE50" s="41">
        <f>L50</f>
        <v>2.2703999999999995</v>
      </c>
      <c r="BG50" s="27">
        <f>F50*AN50</f>
        <v>0</v>
      </c>
      <c r="BH50" s="27">
        <f>F50*AO50</f>
        <v>0</v>
      </c>
      <c r="BI50" s="27">
        <f>F50*G50</f>
        <v>0</v>
      </c>
      <c r="BJ50" s="27" t="s">
        <v>240</v>
      </c>
      <c r="BK50" s="41">
        <v>56</v>
      </c>
    </row>
    <row r="51" spans="1:63" x14ac:dyDescent="0.25">
      <c r="A51" s="5"/>
      <c r="C51" s="19" t="s">
        <v>56</v>
      </c>
      <c r="D51" s="104" t="s">
        <v>131</v>
      </c>
      <c r="E51" s="105"/>
      <c r="F51" s="105"/>
      <c r="G51" s="105"/>
      <c r="H51" s="105"/>
      <c r="I51" s="105"/>
      <c r="J51" s="105"/>
      <c r="K51" s="105"/>
      <c r="L51" s="105"/>
      <c r="M51" s="5"/>
    </row>
    <row r="52" spans="1:63" x14ac:dyDescent="0.25">
      <c r="A52" s="5"/>
      <c r="D52" s="21" t="s">
        <v>302</v>
      </c>
      <c r="F52" s="28">
        <v>13.2</v>
      </c>
      <c r="M52" s="5"/>
    </row>
    <row r="53" spans="1:63" x14ac:dyDescent="0.25">
      <c r="A53" s="4" t="s">
        <v>24</v>
      </c>
      <c r="B53" s="14"/>
      <c r="C53" s="14" t="s">
        <v>65</v>
      </c>
      <c r="D53" s="14" t="s">
        <v>132</v>
      </c>
      <c r="E53" s="14" t="s">
        <v>187</v>
      </c>
      <c r="F53" s="27">
        <v>44</v>
      </c>
      <c r="G53" s="142"/>
      <c r="H53" s="27">
        <f>F53*AN53</f>
        <v>0</v>
      </c>
      <c r="I53" s="27">
        <f>F53*AO53</f>
        <v>0</v>
      </c>
      <c r="J53" s="27">
        <f>F53*G53</f>
        <v>0</v>
      </c>
      <c r="K53" s="27">
        <v>0.28799999999999998</v>
      </c>
      <c r="L53" s="27">
        <f>F53*K53</f>
        <v>12.671999999999999</v>
      </c>
      <c r="M53" s="5"/>
      <c r="Y53" s="41">
        <f>IF(AP53="5",BI53,0)</f>
        <v>0</v>
      </c>
      <c r="AA53" s="41">
        <f>IF(AP53="1",BG53,0)</f>
        <v>0</v>
      </c>
      <c r="AB53" s="41">
        <f>IF(AP53="1",BH53,0)</f>
        <v>0</v>
      </c>
      <c r="AC53" s="41">
        <f>IF(AP53="7",BG53,0)</f>
        <v>0</v>
      </c>
      <c r="AD53" s="41">
        <f>IF(AP53="7",BH53,0)</f>
        <v>0</v>
      </c>
      <c r="AE53" s="41">
        <f>IF(AP53="2",BG53,0)</f>
        <v>0</v>
      </c>
      <c r="AF53" s="41">
        <f>IF(AP53="2",BH53,0)</f>
        <v>0</v>
      </c>
      <c r="AG53" s="41">
        <f>IF(AP53="0",BI53,0)</f>
        <v>0</v>
      </c>
      <c r="AH53" s="38"/>
      <c r="AI53" s="27">
        <f>IF(AM53=0,J53,0)</f>
        <v>0</v>
      </c>
      <c r="AJ53" s="27">
        <f>IF(AM53=15,J53,0)</f>
        <v>0</v>
      </c>
      <c r="AK53" s="27">
        <f>IF(AM53=21,J53,0)</f>
        <v>0</v>
      </c>
      <c r="AM53" s="41">
        <v>21</v>
      </c>
      <c r="AN53" s="41">
        <f>G53*0.839557504701321</f>
        <v>0</v>
      </c>
      <c r="AO53" s="41">
        <f>G53*(1-0.839557504701321)</f>
        <v>0</v>
      </c>
      <c r="AP53" s="42" t="s">
        <v>7</v>
      </c>
      <c r="AU53" s="41">
        <f>AV53+AW53</f>
        <v>0</v>
      </c>
      <c r="AV53" s="41">
        <f>F53*AN53</f>
        <v>0</v>
      </c>
      <c r="AW53" s="41">
        <f>F53*AO53</f>
        <v>0</v>
      </c>
      <c r="AX53" s="44" t="s">
        <v>221</v>
      </c>
      <c r="AY53" s="44" t="s">
        <v>232</v>
      </c>
      <c r="AZ53" s="38" t="s">
        <v>235</v>
      </c>
      <c r="BB53" s="41">
        <f>AV53+AW53</f>
        <v>0</v>
      </c>
      <c r="BC53" s="41">
        <f>G53/(100-BD53)*100</f>
        <v>0</v>
      </c>
      <c r="BD53" s="41">
        <v>0</v>
      </c>
      <c r="BE53" s="41">
        <f>L53</f>
        <v>12.671999999999999</v>
      </c>
      <c r="BG53" s="27">
        <f>F53*AN53</f>
        <v>0</v>
      </c>
      <c r="BH53" s="27">
        <f>F53*AO53</f>
        <v>0</v>
      </c>
      <c r="BI53" s="27">
        <f>F53*G53</f>
        <v>0</v>
      </c>
      <c r="BJ53" s="27" t="s">
        <v>240</v>
      </c>
      <c r="BK53" s="41">
        <v>56</v>
      </c>
    </row>
    <row r="54" spans="1:63" x14ac:dyDescent="0.25">
      <c r="A54" s="5"/>
      <c r="C54" s="19" t="s">
        <v>56</v>
      </c>
      <c r="D54" s="104" t="s">
        <v>133</v>
      </c>
      <c r="E54" s="105"/>
      <c r="F54" s="105"/>
      <c r="G54" s="105"/>
      <c r="H54" s="105"/>
      <c r="I54" s="105"/>
      <c r="J54" s="105"/>
      <c r="K54" s="105"/>
      <c r="L54" s="105"/>
      <c r="M54" s="5"/>
    </row>
    <row r="55" spans="1:63" x14ac:dyDescent="0.25">
      <c r="A55" s="5"/>
      <c r="D55" s="21"/>
      <c r="F55" s="28">
        <v>44</v>
      </c>
      <c r="M55" s="5"/>
    </row>
    <row r="56" spans="1:63" x14ac:dyDescent="0.25">
      <c r="A56" s="4" t="s">
        <v>25</v>
      </c>
      <c r="B56" s="14"/>
      <c r="C56" s="14" t="s">
        <v>66</v>
      </c>
      <c r="D56" s="14" t="s">
        <v>134</v>
      </c>
      <c r="E56" s="14" t="s">
        <v>187</v>
      </c>
      <c r="F56" s="27">
        <v>44</v>
      </c>
      <c r="G56" s="142"/>
      <c r="H56" s="27">
        <f>F56*AN56</f>
        <v>0</v>
      </c>
      <c r="I56" s="27">
        <f>F56*AO56</f>
        <v>0</v>
      </c>
      <c r="J56" s="27">
        <f>F56*G56</f>
        <v>0</v>
      </c>
      <c r="K56" s="27">
        <v>0.378</v>
      </c>
      <c r="L56" s="27">
        <f>F56*K56</f>
        <v>16.632000000000001</v>
      </c>
      <c r="M56" s="5"/>
      <c r="Y56" s="41">
        <f>IF(AP56="5",BI56,0)</f>
        <v>0</v>
      </c>
      <c r="AA56" s="41">
        <f>IF(AP56="1",BG56,0)</f>
        <v>0</v>
      </c>
      <c r="AB56" s="41">
        <f>IF(AP56="1",BH56,0)</f>
        <v>0</v>
      </c>
      <c r="AC56" s="41">
        <f>IF(AP56="7",BG56,0)</f>
        <v>0</v>
      </c>
      <c r="AD56" s="41">
        <f>IF(AP56="7",BH56,0)</f>
        <v>0</v>
      </c>
      <c r="AE56" s="41">
        <f>IF(AP56="2",BG56,0)</f>
        <v>0</v>
      </c>
      <c r="AF56" s="41">
        <f>IF(AP56="2",BH56,0)</f>
        <v>0</v>
      </c>
      <c r="AG56" s="41">
        <f>IF(AP56="0",BI56,0)</f>
        <v>0</v>
      </c>
      <c r="AH56" s="38"/>
      <c r="AI56" s="27">
        <f>IF(AM56=0,J56,0)</f>
        <v>0</v>
      </c>
      <c r="AJ56" s="27">
        <f>IF(AM56=15,J56,0)</f>
        <v>0</v>
      </c>
      <c r="AK56" s="27">
        <f>IF(AM56=21,J56,0)</f>
        <v>0</v>
      </c>
      <c r="AM56" s="41">
        <v>21</v>
      </c>
      <c r="AN56" s="41">
        <f>G56*0.862481678789568</f>
        <v>0</v>
      </c>
      <c r="AO56" s="41">
        <f>G56*(1-0.862481678789568)</f>
        <v>0</v>
      </c>
      <c r="AP56" s="42" t="s">
        <v>7</v>
      </c>
      <c r="AU56" s="41">
        <f>AV56+AW56</f>
        <v>0</v>
      </c>
      <c r="AV56" s="41">
        <f>F56*AN56</f>
        <v>0</v>
      </c>
      <c r="AW56" s="41">
        <f>F56*AO56</f>
        <v>0</v>
      </c>
      <c r="AX56" s="44" t="s">
        <v>221</v>
      </c>
      <c r="AY56" s="44" t="s">
        <v>232</v>
      </c>
      <c r="AZ56" s="38" t="s">
        <v>235</v>
      </c>
      <c r="BB56" s="41">
        <f>AV56+AW56</f>
        <v>0</v>
      </c>
      <c r="BC56" s="41">
        <f>G56/(100-BD56)*100</f>
        <v>0</v>
      </c>
      <c r="BD56" s="41">
        <v>0</v>
      </c>
      <c r="BE56" s="41">
        <f>L56</f>
        <v>16.632000000000001</v>
      </c>
      <c r="BG56" s="27">
        <f>F56*AN56</f>
        <v>0</v>
      </c>
      <c r="BH56" s="27">
        <f>F56*AO56</f>
        <v>0</v>
      </c>
      <c r="BI56" s="27">
        <f>F56*G56</f>
        <v>0</v>
      </c>
      <c r="BJ56" s="27" t="s">
        <v>240</v>
      </c>
      <c r="BK56" s="41">
        <v>56</v>
      </c>
    </row>
    <row r="57" spans="1:63" x14ac:dyDescent="0.25">
      <c r="A57" s="5"/>
      <c r="C57" s="19" t="s">
        <v>56</v>
      </c>
      <c r="D57" s="104" t="s">
        <v>135</v>
      </c>
      <c r="E57" s="105"/>
      <c r="F57" s="105"/>
      <c r="G57" s="105"/>
      <c r="H57" s="105"/>
      <c r="I57" s="105"/>
      <c r="J57" s="105"/>
      <c r="K57" s="105"/>
      <c r="L57" s="105"/>
      <c r="M57" s="5"/>
    </row>
    <row r="58" spans="1:63" x14ac:dyDescent="0.25">
      <c r="A58" s="5"/>
      <c r="D58" s="21"/>
      <c r="F58" s="28">
        <v>44</v>
      </c>
      <c r="M58" s="5"/>
    </row>
    <row r="59" spans="1:63" x14ac:dyDescent="0.25">
      <c r="A59" s="6"/>
      <c r="B59" s="15"/>
      <c r="C59" s="15" t="s">
        <v>67</v>
      </c>
      <c r="D59" s="15" t="s">
        <v>136</v>
      </c>
      <c r="E59" s="25" t="s">
        <v>6</v>
      </c>
      <c r="F59" s="25" t="s">
        <v>6</v>
      </c>
      <c r="G59" s="25" t="s">
        <v>6</v>
      </c>
      <c r="H59" s="47">
        <f>SUM(H60:H65)</f>
        <v>0</v>
      </c>
      <c r="I59" s="47">
        <f>SUM(I60:I65)</f>
        <v>0</v>
      </c>
      <c r="J59" s="47">
        <f>SUM(J60:J65)</f>
        <v>0</v>
      </c>
      <c r="K59" s="38"/>
      <c r="L59" s="47">
        <f>SUM(L60:L65)</f>
        <v>96.693640000000016</v>
      </c>
      <c r="M59" s="5"/>
      <c r="AH59" s="38"/>
      <c r="AR59" s="47">
        <f>SUM(AI60:AI65)</f>
        <v>0</v>
      </c>
      <c r="AS59" s="47">
        <f>SUM(AJ60:AJ65)</f>
        <v>0</v>
      </c>
      <c r="AT59" s="47">
        <f>SUM(AK60:AK65)</f>
        <v>0</v>
      </c>
    </row>
    <row r="60" spans="1:63" x14ac:dyDescent="0.25">
      <c r="A60" s="4" t="s">
        <v>26</v>
      </c>
      <c r="B60" s="14"/>
      <c r="C60" s="14" t="s">
        <v>68</v>
      </c>
      <c r="D60" s="14" t="s">
        <v>137</v>
      </c>
      <c r="E60" s="14" t="s">
        <v>187</v>
      </c>
      <c r="F60" s="27">
        <v>587</v>
      </c>
      <c r="G60" s="142"/>
      <c r="H60" s="27">
        <f>F60*AN60</f>
        <v>0</v>
      </c>
      <c r="I60" s="27">
        <f>F60*AO60</f>
        <v>0</v>
      </c>
      <c r="J60" s="27">
        <f>F60*G60</f>
        <v>0</v>
      </c>
      <c r="K60" s="27">
        <v>5.0000000000000001E-4</v>
      </c>
      <c r="L60" s="27">
        <f>F60*K60</f>
        <v>0.29349999999999998</v>
      </c>
      <c r="M60" s="5"/>
      <c r="Y60" s="41">
        <f>IF(AP60="5",BI60,0)</f>
        <v>0</v>
      </c>
      <c r="AA60" s="41">
        <f>IF(AP60="1",BG60,0)</f>
        <v>0</v>
      </c>
      <c r="AB60" s="41">
        <f>IF(AP60="1",BH60,0)</f>
        <v>0</v>
      </c>
      <c r="AC60" s="41">
        <f>IF(AP60="7",BG60,0)</f>
        <v>0</v>
      </c>
      <c r="AD60" s="41">
        <f>IF(AP60="7",BH60,0)</f>
        <v>0</v>
      </c>
      <c r="AE60" s="41">
        <f>IF(AP60="2",BG60,0)</f>
        <v>0</v>
      </c>
      <c r="AF60" s="41">
        <f>IF(AP60="2",BH60,0)</f>
        <v>0</v>
      </c>
      <c r="AG60" s="41">
        <f>IF(AP60="0",BI60,0)</f>
        <v>0</v>
      </c>
      <c r="AH60" s="38"/>
      <c r="AI60" s="27">
        <f>IF(AM60=0,J60,0)</f>
        <v>0</v>
      </c>
      <c r="AJ60" s="27">
        <f>IF(AM60=15,J60,0)</f>
        <v>0</v>
      </c>
      <c r="AK60" s="27">
        <f>IF(AM60=21,J60,0)</f>
        <v>0</v>
      </c>
      <c r="AM60" s="41">
        <v>21</v>
      </c>
      <c r="AN60" s="41">
        <f>G60*0.850654804071957</f>
        <v>0</v>
      </c>
      <c r="AO60" s="41">
        <f>G60*(1-0.850654804071957)</f>
        <v>0</v>
      </c>
      <c r="AP60" s="42" t="s">
        <v>7</v>
      </c>
      <c r="AU60" s="41">
        <f>AV60+AW60</f>
        <v>0</v>
      </c>
      <c r="AV60" s="41">
        <f>F60*AN60</f>
        <v>0</v>
      </c>
      <c r="AW60" s="41">
        <f>F60*AO60</f>
        <v>0</v>
      </c>
      <c r="AX60" s="44" t="s">
        <v>222</v>
      </c>
      <c r="AY60" s="44" t="s">
        <v>232</v>
      </c>
      <c r="AZ60" s="38" t="s">
        <v>235</v>
      </c>
      <c r="BB60" s="41">
        <f>AV60+AW60</f>
        <v>0</v>
      </c>
      <c r="BC60" s="41">
        <f>G60/(100-BD60)*100</f>
        <v>0</v>
      </c>
      <c r="BD60" s="41">
        <v>0</v>
      </c>
      <c r="BE60" s="41">
        <f>L60</f>
        <v>0.29349999999999998</v>
      </c>
      <c r="BG60" s="27">
        <f>F60*AN60</f>
        <v>0</v>
      </c>
      <c r="BH60" s="27">
        <f>F60*AO60</f>
        <v>0</v>
      </c>
      <c r="BI60" s="27">
        <f>F60*G60</f>
        <v>0</v>
      </c>
      <c r="BJ60" s="27" t="s">
        <v>240</v>
      </c>
      <c r="BK60" s="41">
        <v>57</v>
      </c>
    </row>
    <row r="61" spans="1:63" x14ac:dyDescent="0.25">
      <c r="A61" s="5"/>
      <c r="D61" s="21" t="s">
        <v>303</v>
      </c>
      <c r="F61" s="28">
        <v>587</v>
      </c>
      <c r="M61" s="5"/>
    </row>
    <row r="62" spans="1:63" x14ac:dyDescent="0.25">
      <c r="A62" s="4" t="s">
        <v>27</v>
      </c>
      <c r="B62" s="14"/>
      <c r="C62" s="14" t="s">
        <v>69</v>
      </c>
      <c r="D62" s="14" t="s">
        <v>138</v>
      </c>
      <c r="E62" s="14" t="s">
        <v>187</v>
      </c>
      <c r="F62" s="27">
        <v>16.5</v>
      </c>
      <c r="G62" s="142"/>
      <c r="H62" s="27">
        <f>F62*AN62</f>
        <v>0</v>
      </c>
      <c r="I62" s="27">
        <f>F62*AO62</f>
        <v>0</v>
      </c>
      <c r="J62" s="27">
        <f>F62*G62</f>
        <v>0</v>
      </c>
      <c r="K62" s="27">
        <v>1.2296800000000001</v>
      </c>
      <c r="L62" s="27">
        <f>F62*K62</f>
        <v>20.289720000000003</v>
      </c>
      <c r="M62" s="5"/>
      <c r="Y62" s="41">
        <f>IF(AP62="5",BI62,0)</f>
        <v>0</v>
      </c>
      <c r="AA62" s="41">
        <f>IF(AP62="1",BG62,0)</f>
        <v>0</v>
      </c>
      <c r="AB62" s="41">
        <f>IF(AP62="1",BH62,0)</f>
        <v>0</v>
      </c>
      <c r="AC62" s="41">
        <f>IF(AP62="7",BG62,0)</f>
        <v>0</v>
      </c>
      <c r="AD62" s="41">
        <f>IF(AP62="7",BH62,0)</f>
        <v>0</v>
      </c>
      <c r="AE62" s="41">
        <f>IF(AP62="2",BG62,0)</f>
        <v>0</v>
      </c>
      <c r="AF62" s="41">
        <f>IF(AP62="2",BH62,0)</f>
        <v>0</v>
      </c>
      <c r="AG62" s="41">
        <f>IF(AP62="0",BI62,0)</f>
        <v>0</v>
      </c>
      <c r="AH62" s="38"/>
      <c r="AI62" s="27">
        <f>IF(AM62=0,J62,0)</f>
        <v>0</v>
      </c>
      <c r="AJ62" s="27">
        <f>IF(AM62=15,J62,0)</f>
        <v>0</v>
      </c>
      <c r="AK62" s="27">
        <f>IF(AM62=21,J62,0)</f>
        <v>0</v>
      </c>
      <c r="AM62" s="41">
        <v>21</v>
      </c>
      <c r="AN62" s="41">
        <f>G62*0.74785598217621</f>
        <v>0</v>
      </c>
      <c r="AO62" s="41">
        <f>G62*(1-0.74785598217621)</f>
        <v>0</v>
      </c>
      <c r="AP62" s="42" t="s">
        <v>7</v>
      </c>
      <c r="AU62" s="41">
        <f>AV62+AW62</f>
        <v>0</v>
      </c>
      <c r="AV62" s="41">
        <f>F62*AN62</f>
        <v>0</v>
      </c>
      <c r="AW62" s="41">
        <f>F62*AO62</f>
        <v>0</v>
      </c>
      <c r="AX62" s="44" t="s">
        <v>222</v>
      </c>
      <c r="AY62" s="44" t="s">
        <v>232</v>
      </c>
      <c r="AZ62" s="38" t="s">
        <v>235</v>
      </c>
      <c r="BB62" s="41">
        <f>AV62+AW62</f>
        <v>0</v>
      </c>
      <c r="BC62" s="41">
        <f>G62/(100-BD62)*100</f>
        <v>0</v>
      </c>
      <c r="BD62" s="41">
        <v>0</v>
      </c>
      <c r="BE62" s="41">
        <f>L62</f>
        <v>20.289720000000003</v>
      </c>
      <c r="BG62" s="27">
        <f>F62*AN62</f>
        <v>0</v>
      </c>
      <c r="BH62" s="27">
        <f>F62*AO62</f>
        <v>0</v>
      </c>
      <c r="BI62" s="27">
        <f>F62*G62</f>
        <v>0</v>
      </c>
      <c r="BJ62" s="27" t="s">
        <v>240</v>
      </c>
      <c r="BK62" s="41">
        <v>57</v>
      </c>
    </row>
    <row r="63" spans="1:63" x14ac:dyDescent="0.25">
      <c r="A63" s="5"/>
      <c r="D63" s="21" t="s">
        <v>304</v>
      </c>
      <c r="F63" s="28">
        <v>16.5</v>
      </c>
      <c r="M63" s="5"/>
    </row>
    <row r="64" spans="1:63" x14ac:dyDescent="0.25">
      <c r="A64" s="5"/>
      <c r="C64" s="18" t="s">
        <v>49</v>
      </c>
      <c r="D64" s="109" t="s">
        <v>139</v>
      </c>
      <c r="E64" s="110"/>
      <c r="F64" s="110"/>
      <c r="G64" s="110"/>
      <c r="H64" s="110"/>
      <c r="I64" s="110"/>
      <c r="J64" s="110"/>
      <c r="K64" s="110"/>
      <c r="L64" s="110"/>
      <c r="M64" s="5"/>
    </row>
    <row r="65" spans="1:63" x14ac:dyDescent="0.25">
      <c r="A65" s="4" t="s">
        <v>28</v>
      </c>
      <c r="B65" s="14"/>
      <c r="C65" s="14" t="s">
        <v>70</v>
      </c>
      <c r="D65" s="14" t="s">
        <v>140</v>
      </c>
      <c r="E65" s="14" t="s">
        <v>187</v>
      </c>
      <c r="F65" s="27">
        <v>587</v>
      </c>
      <c r="G65" s="142"/>
      <c r="H65" s="27">
        <f>F65*AN65</f>
        <v>0</v>
      </c>
      <c r="I65" s="27">
        <f>F65*AO65</f>
        <v>0</v>
      </c>
      <c r="J65" s="27">
        <f>F65*G65</f>
        <v>0</v>
      </c>
      <c r="K65" s="27">
        <v>0.12966</v>
      </c>
      <c r="L65" s="27">
        <f>F65*K65</f>
        <v>76.110420000000005</v>
      </c>
      <c r="M65" s="5"/>
      <c r="Y65" s="41">
        <f>IF(AP65="5",BI65,0)</f>
        <v>0</v>
      </c>
      <c r="AA65" s="41">
        <f>IF(AP65="1",BG65,0)</f>
        <v>0</v>
      </c>
      <c r="AB65" s="41">
        <f>IF(AP65="1",BH65,0)</f>
        <v>0</v>
      </c>
      <c r="AC65" s="41">
        <f>IF(AP65="7",BG65,0)</f>
        <v>0</v>
      </c>
      <c r="AD65" s="41">
        <f>IF(AP65="7",BH65,0)</f>
        <v>0</v>
      </c>
      <c r="AE65" s="41">
        <f>IF(AP65="2",BG65,0)</f>
        <v>0</v>
      </c>
      <c r="AF65" s="41">
        <f>IF(AP65="2",BH65,0)</f>
        <v>0</v>
      </c>
      <c r="AG65" s="41">
        <f>IF(AP65="0",BI65,0)</f>
        <v>0</v>
      </c>
      <c r="AH65" s="38"/>
      <c r="AI65" s="27">
        <f>IF(AM65=0,J65,0)</f>
        <v>0</v>
      </c>
      <c r="AJ65" s="27">
        <f>IF(AM65=15,J65,0)</f>
        <v>0</v>
      </c>
      <c r="AK65" s="27">
        <f>IF(AM65=21,J65,0)</f>
        <v>0</v>
      </c>
      <c r="AM65" s="41">
        <v>21</v>
      </c>
      <c r="AN65" s="41">
        <f>G65*0.598564679079398</f>
        <v>0</v>
      </c>
      <c r="AO65" s="41">
        <f>G65*(1-0.598564679079398)</f>
        <v>0</v>
      </c>
      <c r="AP65" s="42" t="s">
        <v>7</v>
      </c>
      <c r="AU65" s="41">
        <f>AV65+AW65</f>
        <v>0</v>
      </c>
      <c r="AV65" s="41">
        <f>F65*AN65</f>
        <v>0</v>
      </c>
      <c r="AW65" s="41">
        <f>F65*AO65</f>
        <v>0</v>
      </c>
      <c r="AX65" s="44" t="s">
        <v>222</v>
      </c>
      <c r="AY65" s="44" t="s">
        <v>232</v>
      </c>
      <c r="AZ65" s="38" t="s">
        <v>235</v>
      </c>
      <c r="BB65" s="41">
        <f>AV65+AW65</f>
        <v>0</v>
      </c>
      <c r="BC65" s="41">
        <f>G65/(100-BD65)*100</f>
        <v>0</v>
      </c>
      <c r="BD65" s="41">
        <v>0</v>
      </c>
      <c r="BE65" s="41">
        <f>L65</f>
        <v>76.110420000000005</v>
      </c>
      <c r="BG65" s="27">
        <f>F65*AN65</f>
        <v>0</v>
      </c>
      <c r="BH65" s="27">
        <f>F65*AO65</f>
        <v>0</v>
      </c>
      <c r="BI65" s="27">
        <f>F65*G65</f>
        <v>0</v>
      </c>
      <c r="BJ65" s="27" t="s">
        <v>240</v>
      </c>
      <c r="BK65" s="41">
        <v>57</v>
      </c>
    </row>
    <row r="66" spans="1:63" x14ac:dyDescent="0.25">
      <c r="A66" s="5"/>
      <c r="C66" s="19" t="s">
        <v>56</v>
      </c>
      <c r="D66" s="104" t="s">
        <v>141</v>
      </c>
      <c r="E66" s="105"/>
      <c r="F66" s="105"/>
      <c r="G66" s="105"/>
      <c r="H66" s="105"/>
      <c r="I66" s="105"/>
      <c r="J66" s="105"/>
      <c r="K66" s="105"/>
      <c r="L66" s="105"/>
      <c r="M66" s="5"/>
    </row>
    <row r="67" spans="1:63" x14ac:dyDescent="0.25">
      <c r="A67" s="5"/>
      <c r="D67" s="21" t="s">
        <v>303</v>
      </c>
      <c r="F67" s="28">
        <v>587</v>
      </c>
      <c r="M67" s="5"/>
    </row>
    <row r="68" spans="1:63" x14ac:dyDescent="0.25">
      <c r="A68" s="6"/>
      <c r="B68" s="15"/>
      <c r="C68" s="15" t="s">
        <v>71</v>
      </c>
      <c r="D68" s="15" t="s">
        <v>142</v>
      </c>
      <c r="E68" s="25" t="s">
        <v>6</v>
      </c>
      <c r="F68" s="25" t="s">
        <v>6</v>
      </c>
      <c r="G68" s="25" t="s">
        <v>6</v>
      </c>
      <c r="H68" s="47">
        <f>SUM(H69:H70)</f>
        <v>0</v>
      </c>
      <c r="I68" s="47">
        <f>SUM(I69:I70)</f>
        <v>0</v>
      </c>
      <c r="J68" s="47">
        <f>SUM(J69:J70)</f>
        <v>0</v>
      </c>
      <c r="K68" s="38"/>
      <c r="L68" s="47">
        <f>SUM(L69:L70)</f>
        <v>0.59284999999999999</v>
      </c>
      <c r="M68" s="5"/>
      <c r="AH68" s="38"/>
      <c r="AR68" s="47">
        <f>SUM(AI69:AI70)</f>
        <v>0</v>
      </c>
      <c r="AS68" s="47">
        <f>SUM(AJ69:AJ70)</f>
        <v>0</v>
      </c>
      <c r="AT68" s="47">
        <f>SUM(AK69:AK70)</f>
        <v>0</v>
      </c>
    </row>
    <row r="69" spans="1:63" x14ac:dyDescent="0.25">
      <c r="A69" s="4" t="s">
        <v>29</v>
      </c>
      <c r="B69" s="14"/>
      <c r="C69" s="14" t="s">
        <v>72</v>
      </c>
      <c r="D69" s="14" t="s">
        <v>143</v>
      </c>
      <c r="E69" s="14" t="s">
        <v>188</v>
      </c>
      <c r="F69" s="27">
        <v>5</v>
      </c>
      <c r="G69" s="142"/>
      <c r="H69" s="27">
        <f>F69*AN69</f>
        <v>0</v>
      </c>
      <c r="I69" s="27">
        <f>F69*AO69</f>
        <v>0</v>
      </c>
      <c r="J69" s="27">
        <f>F69*G69</f>
        <v>0</v>
      </c>
      <c r="K69" s="27">
        <v>3.3E-4</v>
      </c>
      <c r="L69" s="27">
        <f>F69*K69</f>
        <v>1.65E-3</v>
      </c>
      <c r="M69" s="5"/>
      <c r="Y69" s="41">
        <f>IF(AP69="5",BI69,0)</f>
        <v>0</v>
      </c>
      <c r="AA69" s="41">
        <f>IF(AP69="1",BG69,0)</f>
        <v>0</v>
      </c>
      <c r="AB69" s="41">
        <f>IF(AP69="1",BH69,0)</f>
        <v>0</v>
      </c>
      <c r="AC69" s="41">
        <f>IF(AP69="7",BG69,0)</f>
        <v>0</v>
      </c>
      <c r="AD69" s="41">
        <f>IF(AP69="7",BH69,0)</f>
        <v>0</v>
      </c>
      <c r="AE69" s="41">
        <f>IF(AP69="2",BG69,0)</f>
        <v>0</v>
      </c>
      <c r="AF69" s="41">
        <f>IF(AP69="2",BH69,0)</f>
        <v>0</v>
      </c>
      <c r="AG69" s="41">
        <f>IF(AP69="0",BI69,0)</f>
        <v>0</v>
      </c>
      <c r="AH69" s="38"/>
      <c r="AI69" s="27">
        <f>IF(AM69=0,J69,0)</f>
        <v>0</v>
      </c>
      <c r="AJ69" s="27">
        <f>IF(AM69=15,J69,0)</f>
        <v>0</v>
      </c>
      <c r="AK69" s="27">
        <f>IF(AM69=21,J69,0)</f>
        <v>0</v>
      </c>
      <c r="AM69" s="41">
        <v>21</v>
      </c>
      <c r="AN69" s="41">
        <f>G69*0.0565568449241256</f>
        <v>0</v>
      </c>
      <c r="AO69" s="41">
        <f>G69*(1-0.0565568449241256)</f>
        <v>0</v>
      </c>
      <c r="AP69" s="42" t="s">
        <v>7</v>
      </c>
      <c r="AU69" s="41">
        <f>AV69+AW69</f>
        <v>0</v>
      </c>
      <c r="AV69" s="41">
        <f>F69*AN69</f>
        <v>0</v>
      </c>
      <c r="AW69" s="41">
        <f>F69*AO69</f>
        <v>0</v>
      </c>
      <c r="AX69" s="44" t="s">
        <v>223</v>
      </c>
      <c r="AY69" s="44" t="s">
        <v>232</v>
      </c>
      <c r="AZ69" s="38" t="s">
        <v>235</v>
      </c>
      <c r="BB69" s="41">
        <f>AV69+AW69</f>
        <v>0</v>
      </c>
      <c r="BC69" s="41">
        <f>G69/(100-BD69)*100</f>
        <v>0</v>
      </c>
      <c r="BD69" s="41">
        <v>0</v>
      </c>
      <c r="BE69" s="41">
        <f>L69</f>
        <v>1.65E-3</v>
      </c>
      <c r="BG69" s="27">
        <f>F69*AN69</f>
        <v>0</v>
      </c>
      <c r="BH69" s="27">
        <f>F69*AO69</f>
        <v>0</v>
      </c>
      <c r="BI69" s="27">
        <f>F69*G69</f>
        <v>0</v>
      </c>
      <c r="BJ69" s="27" t="s">
        <v>240</v>
      </c>
      <c r="BK69" s="41">
        <v>59</v>
      </c>
    </row>
    <row r="70" spans="1:63" x14ac:dyDescent="0.25">
      <c r="A70" s="4" t="s">
        <v>30</v>
      </c>
      <c r="B70" s="14"/>
      <c r="C70" s="14" t="s">
        <v>73</v>
      </c>
      <c r="D70" s="14" t="s">
        <v>144</v>
      </c>
      <c r="E70" s="14" t="s">
        <v>187</v>
      </c>
      <c r="F70" s="27">
        <v>8</v>
      </c>
      <c r="G70" s="142"/>
      <c r="H70" s="27">
        <f>F70*AN70</f>
        <v>0</v>
      </c>
      <c r="I70" s="27">
        <f>F70*AO70</f>
        <v>0</v>
      </c>
      <c r="J70" s="27">
        <f>F70*G70</f>
        <v>0</v>
      </c>
      <c r="K70" s="27">
        <v>7.3899999999999993E-2</v>
      </c>
      <c r="L70" s="27">
        <f>F70*K70</f>
        <v>0.59119999999999995</v>
      </c>
      <c r="M70" s="5"/>
      <c r="Y70" s="41">
        <f>IF(AP70="5",BI70,0)</f>
        <v>0</v>
      </c>
      <c r="AA70" s="41">
        <f>IF(AP70="1",BG70,0)</f>
        <v>0</v>
      </c>
      <c r="AB70" s="41">
        <f>IF(AP70="1",BH70,0)</f>
        <v>0</v>
      </c>
      <c r="AC70" s="41">
        <f>IF(AP70="7",BG70,0)</f>
        <v>0</v>
      </c>
      <c r="AD70" s="41">
        <f>IF(AP70="7",BH70,0)</f>
        <v>0</v>
      </c>
      <c r="AE70" s="41">
        <f>IF(AP70="2",BG70,0)</f>
        <v>0</v>
      </c>
      <c r="AF70" s="41">
        <f>IF(AP70="2",BH70,0)</f>
        <v>0</v>
      </c>
      <c r="AG70" s="41">
        <f>IF(AP70="0",BI70,0)</f>
        <v>0</v>
      </c>
      <c r="AH70" s="38"/>
      <c r="AI70" s="27">
        <f>IF(AM70=0,J70,0)</f>
        <v>0</v>
      </c>
      <c r="AJ70" s="27">
        <f>IF(AM70=15,J70,0)</f>
        <v>0</v>
      </c>
      <c r="AK70" s="27">
        <f>IF(AM70=21,J70,0)</f>
        <v>0</v>
      </c>
      <c r="AM70" s="41">
        <v>21</v>
      </c>
      <c r="AN70" s="41">
        <f>G70*0.142933919736119</f>
        <v>0</v>
      </c>
      <c r="AO70" s="41">
        <f>G70*(1-0.142933919736119)</f>
        <v>0</v>
      </c>
      <c r="AP70" s="42" t="s">
        <v>7</v>
      </c>
      <c r="AU70" s="41">
        <f>AV70+AW70</f>
        <v>0</v>
      </c>
      <c r="AV70" s="41">
        <f>F70*AN70</f>
        <v>0</v>
      </c>
      <c r="AW70" s="41">
        <f>F70*AO70</f>
        <v>0</v>
      </c>
      <c r="AX70" s="44" t="s">
        <v>223</v>
      </c>
      <c r="AY70" s="44" t="s">
        <v>232</v>
      </c>
      <c r="AZ70" s="38" t="s">
        <v>235</v>
      </c>
      <c r="BB70" s="41">
        <f>AV70+AW70</f>
        <v>0</v>
      </c>
      <c r="BC70" s="41">
        <f>G70/(100-BD70)*100</f>
        <v>0</v>
      </c>
      <c r="BD70" s="41">
        <v>0</v>
      </c>
      <c r="BE70" s="41">
        <f>L70</f>
        <v>0.59119999999999995</v>
      </c>
      <c r="BG70" s="27">
        <f>F70*AN70</f>
        <v>0</v>
      </c>
      <c r="BH70" s="27">
        <f>F70*AO70</f>
        <v>0</v>
      </c>
      <c r="BI70" s="27">
        <f>F70*G70</f>
        <v>0</v>
      </c>
      <c r="BJ70" s="27" t="s">
        <v>240</v>
      </c>
      <c r="BK70" s="41">
        <v>59</v>
      </c>
    </row>
    <row r="71" spans="1:63" x14ac:dyDescent="0.25">
      <c r="A71" s="5"/>
      <c r="D71" s="21" t="s">
        <v>305</v>
      </c>
      <c r="F71" s="28">
        <v>8</v>
      </c>
      <c r="M71" s="5"/>
    </row>
    <row r="72" spans="1:63" x14ac:dyDescent="0.25">
      <c r="A72" s="6"/>
      <c r="B72" s="15"/>
      <c r="C72" s="15" t="s">
        <v>74</v>
      </c>
      <c r="D72" s="15" t="s">
        <v>145</v>
      </c>
      <c r="E72" s="25" t="s">
        <v>6</v>
      </c>
      <c r="F72" s="25" t="s">
        <v>6</v>
      </c>
      <c r="G72" s="25" t="s">
        <v>6</v>
      </c>
      <c r="H72" s="47">
        <f>SUM(H73:H84)</f>
        <v>0</v>
      </c>
      <c r="I72" s="47">
        <f>SUM(I73:I84)</f>
        <v>0</v>
      </c>
      <c r="J72" s="47">
        <f>SUM(J73:J84)</f>
        <v>0</v>
      </c>
      <c r="K72" s="38"/>
      <c r="L72" s="47">
        <f>SUM(L73:L84)</f>
        <v>12.987659999999998</v>
      </c>
      <c r="M72" s="5"/>
      <c r="AH72" s="38"/>
      <c r="AR72" s="47">
        <f>SUM(AI73:AI84)</f>
        <v>0</v>
      </c>
      <c r="AS72" s="47">
        <f>SUM(AJ73:AJ84)</f>
        <v>0</v>
      </c>
      <c r="AT72" s="47">
        <f>SUM(AK73:AK84)</f>
        <v>0</v>
      </c>
    </row>
    <row r="73" spans="1:63" x14ac:dyDescent="0.25">
      <c r="A73" s="4" t="s">
        <v>31</v>
      </c>
      <c r="B73" s="14"/>
      <c r="C73" s="14" t="s">
        <v>75</v>
      </c>
      <c r="D73" s="14" t="s">
        <v>146</v>
      </c>
      <c r="E73" s="14" t="s">
        <v>188</v>
      </c>
      <c r="F73" s="27">
        <v>20</v>
      </c>
      <c r="G73" s="142"/>
      <c r="H73" s="27">
        <f>F73*AN73</f>
        <v>0</v>
      </c>
      <c r="I73" s="27">
        <f>F73*AO73</f>
        <v>0</v>
      </c>
      <c r="J73" s="27">
        <f>F73*G73</f>
        <v>0</v>
      </c>
      <c r="K73" s="27">
        <v>0.185</v>
      </c>
      <c r="L73" s="27">
        <f>F73*K73</f>
        <v>3.7</v>
      </c>
      <c r="M73" s="5"/>
      <c r="Y73" s="41">
        <f>IF(AP73="5",BI73,0)</f>
        <v>0</v>
      </c>
      <c r="AA73" s="41">
        <f>IF(AP73="1",BG73,0)</f>
        <v>0</v>
      </c>
      <c r="AB73" s="41">
        <f>IF(AP73="1",BH73,0)</f>
        <v>0</v>
      </c>
      <c r="AC73" s="41">
        <f>IF(AP73="7",BG73,0)</f>
        <v>0</v>
      </c>
      <c r="AD73" s="41">
        <f>IF(AP73="7",BH73,0)</f>
        <v>0</v>
      </c>
      <c r="AE73" s="41">
        <f>IF(AP73="2",BG73,0)</f>
        <v>0</v>
      </c>
      <c r="AF73" s="41">
        <f>IF(AP73="2",BH73,0)</f>
        <v>0</v>
      </c>
      <c r="AG73" s="41">
        <f>IF(AP73="0",BI73,0)</f>
        <v>0</v>
      </c>
      <c r="AH73" s="38"/>
      <c r="AI73" s="27">
        <f>IF(AM73=0,J73,0)</f>
        <v>0</v>
      </c>
      <c r="AJ73" s="27">
        <f>IF(AM73=15,J73,0)</f>
        <v>0</v>
      </c>
      <c r="AK73" s="27">
        <f>IF(AM73=21,J73,0)</f>
        <v>0</v>
      </c>
      <c r="AM73" s="41">
        <v>21</v>
      </c>
      <c r="AN73" s="41">
        <f>G73*0.511299389184216</f>
        <v>0</v>
      </c>
      <c r="AO73" s="41">
        <f>G73*(1-0.511299389184216)</f>
        <v>0</v>
      </c>
      <c r="AP73" s="42" t="s">
        <v>7</v>
      </c>
      <c r="AU73" s="41">
        <f>AV73+AW73</f>
        <v>0</v>
      </c>
      <c r="AV73" s="41">
        <f>F73*AN73</f>
        <v>0</v>
      </c>
      <c r="AW73" s="41">
        <f>F73*AO73</f>
        <v>0</v>
      </c>
      <c r="AX73" s="44" t="s">
        <v>224</v>
      </c>
      <c r="AY73" s="44" t="s">
        <v>233</v>
      </c>
      <c r="AZ73" s="38" t="s">
        <v>235</v>
      </c>
      <c r="BB73" s="41">
        <f>AV73+AW73</f>
        <v>0</v>
      </c>
      <c r="BC73" s="41">
        <f>G73/(100-BD73)*100</f>
        <v>0</v>
      </c>
      <c r="BD73" s="41">
        <v>0</v>
      </c>
      <c r="BE73" s="41">
        <f>L73</f>
        <v>3.7</v>
      </c>
      <c r="BG73" s="27">
        <f>F73*AN73</f>
        <v>0</v>
      </c>
      <c r="BH73" s="27">
        <f>F73*AO73</f>
        <v>0</v>
      </c>
      <c r="BI73" s="27">
        <f>F73*G73</f>
        <v>0</v>
      </c>
      <c r="BJ73" s="27" t="s">
        <v>240</v>
      </c>
      <c r="BK73" s="41">
        <v>91</v>
      </c>
    </row>
    <row r="74" spans="1:63" x14ac:dyDescent="0.25">
      <c r="A74" s="5"/>
      <c r="C74" s="19" t="s">
        <v>56</v>
      </c>
      <c r="D74" s="104" t="s">
        <v>147</v>
      </c>
      <c r="E74" s="105"/>
      <c r="F74" s="105"/>
      <c r="G74" s="105"/>
      <c r="H74" s="105"/>
      <c r="I74" s="105"/>
      <c r="J74" s="105"/>
      <c r="K74" s="105"/>
      <c r="L74" s="105"/>
      <c r="M74" s="5"/>
    </row>
    <row r="75" spans="1:63" x14ac:dyDescent="0.25">
      <c r="A75" s="5"/>
      <c r="D75" s="21" t="s">
        <v>26</v>
      </c>
      <c r="F75" s="28">
        <v>20</v>
      </c>
      <c r="M75" s="5"/>
    </row>
    <row r="76" spans="1:63" x14ac:dyDescent="0.25">
      <c r="A76" s="4" t="s">
        <v>32</v>
      </c>
      <c r="B76" s="14"/>
      <c r="C76" s="14" t="s">
        <v>76</v>
      </c>
      <c r="D76" s="14" t="s">
        <v>148</v>
      </c>
      <c r="E76" s="14" t="s">
        <v>188</v>
      </c>
      <c r="F76" s="27">
        <v>15</v>
      </c>
      <c r="G76" s="142"/>
      <c r="H76" s="27">
        <f>F76*AN76</f>
        <v>0</v>
      </c>
      <c r="I76" s="27">
        <f>F76*AO76</f>
        <v>0</v>
      </c>
      <c r="J76" s="27">
        <f>F76*G76</f>
        <v>0</v>
      </c>
      <c r="K76" s="27">
        <v>0.188</v>
      </c>
      <c r="L76" s="27">
        <f>F76*K76</f>
        <v>2.82</v>
      </c>
      <c r="M76" s="5"/>
      <c r="Y76" s="41">
        <f>IF(AP76="5",BI76,0)</f>
        <v>0</v>
      </c>
      <c r="AA76" s="41">
        <f>IF(AP76="1",BG76,0)</f>
        <v>0</v>
      </c>
      <c r="AB76" s="41">
        <f>IF(AP76="1",BH76,0)</f>
        <v>0</v>
      </c>
      <c r="AC76" s="41">
        <f>IF(AP76="7",BG76,0)</f>
        <v>0</v>
      </c>
      <c r="AD76" s="41">
        <f>IF(AP76="7",BH76,0)</f>
        <v>0</v>
      </c>
      <c r="AE76" s="41">
        <f>IF(AP76="2",BG76,0)</f>
        <v>0</v>
      </c>
      <c r="AF76" s="41">
        <f>IF(AP76="2",BH76,0)</f>
        <v>0</v>
      </c>
      <c r="AG76" s="41">
        <f>IF(AP76="0",BI76,0)</f>
        <v>0</v>
      </c>
      <c r="AH76" s="38"/>
      <c r="AI76" s="27">
        <f>IF(AM76=0,J76,0)</f>
        <v>0</v>
      </c>
      <c r="AJ76" s="27">
        <f>IF(AM76=15,J76,0)</f>
        <v>0</v>
      </c>
      <c r="AK76" s="27">
        <f>IF(AM76=21,J76,0)</f>
        <v>0</v>
      </c>
      <c r="AM76" s="41">
        <v>21</v>
      </c>
      <c r="AN76" s="41">
        <f>G76*0.56726966746676</f>
        <v>0</v>
      </c>
      <c r="AO76" s="41">
        <f>G76*(1-0.56726966746676)</f>
        <v>0</v>
      </c>
      <c r="AP76" s="42" t="s">
        <v>7</v>
      </c>
      <c r="AU76" s="41">
        <f>AV76+AW76</f>
        <v>0</v>
      </c>
      <c r="AV76" s="41">
        <f>F76*AN76</f>
        <v>0</v>
      </c>
      <c r="AW76" s="41">
        <f>F76*AO76</f>
        <v>0</v>
      </c>
      <c r="AX76" s="44" t="s">
        <v>224</v>
      </c>
      <c r="AY76" s="44" t="s">
        <v>233</v>
      </c>
      <c r="AZ76" s="38" t="s">
        <v>235</v>
      </c>
      <c r="BB76" s="41">
        <f>AV76+AW76</f>
        <v>0</v>
      </c>
      <c r="BC76" s="41">
        <f>G76/(100-BD76)*100</f>
        <v>0</v>
      </c>
      <c r="BD76" s="41">
        <v>0</v>
      </c>
      <c r="BE76" s="41">
        <f>L76</f>
        <v>2.82</v>
      </c>
      <c r="BG76" s="27">
        <f>F76*AN76</f>
        <v>0</v>
      </c>
      <c r="BH76" s="27">
        <f>F76*AO76</f>
        <v>0</v>
      </c>
      <c r="BI76" s="27">
        <f>F76*G76</f>
        <v>0</v>
      </c>
      <c r="BJ76" s="27" t="s">
        <v>240</v>
      </c>
      <c r="BK76" s="41">
        <v>91</v>
      </c>
    </row>
    <row r="77" spans="1:63" x14ac:dyDescent="0.25">
      <c r="A77" s="5"/>
      <c r="D77" s="21" t="s">
        <v>21</v>
      </c>
      <c r="F77" s="28">
        <v>15</v>
      </c>
      <c r="M77" s="5"/>
    </row>
    <row r="78" spans="1:63" x14ac:dyDescent="0.25">
      <c r="A78" s="4" t="s">
        <v>33</v>
      </c>
      <c r="B78" s="14"/>
      <c r="C78" s="14" t="s">
        <v>77</v>
      </c>
      <c r="D78" s="14" t="s">
        <v>149</v>
      </c>
      <c r="E78" s="14" t="s">
        <v>188</v>
      </c>
      <c r="F78" s="27">
        <v>5</v>
      </c>
      <c r="G78" s="142"/>
      <c r="H78" s="27">
        <f>F78*AN78</f>
        <v>0</v>
      </c>
      <c r="I78" s="27">
        <f>F78*AO78</f>
        <v>0</v>
      </c>
      <c r="J78" s="27">
        <f>F78*G78</f>
        <v>0</v>
      </c>
      <c r="K78" s="27">
        <v>1E-4</v>
      </c>
      <c r="L78" s="27">
        <f>F78*K78</f>
        <v>5.0000000000000001E-4</v>
      </c>
      <c r="M78" s="5"/>
      <c r="Y78" s="41">
        <f>IF(AP78="5",BI78,0)</f>
        <v>0</v>
      </c>
      <c r="AA78" s="41">
        <f>IF(AP78="1",BG78,0)</f>
        <v>0</v>
      </c>
      <c r="AB78" s="41">
        <f>IF(AP78="1",BH78,0)</f>
        <v>0</v>
      </c>
      <c r="AC78" s="41">
        <f>IF(AP78="7",BG78,0)</f>
        <v>0</v>
      </c>
      <c r="AD78" s="41">
        <f>IF(AP78="7",BH78,0)</f>
        <v>0</v>
      </c>
      <c r="AE78" s="41">
        <f>IF(AP78="2",BG78,0)</f>
        <v>0</v>
      </c>
      <c r="AF78" s="41">
        <f>IF(AP78="2",BH78,0)</f>
        <v>0</v>
      </c>
      <c r="AG78" s="41">
        <f>IF(AP78="0",BI78,0)</f>
        <v>0</v>
      </c>
      <c r="AH78" s="38"/>
      <c r="AI78" s="27">
        <f>IF(AM78=0,J78,0)</f>
        <v>0</v>
      </c>
      <c r="AJ78" s="27">
        <f>IF(AM78=15,J78,0)</f>
        <v>0</v>
      </c>
      <c r="AK78" s="27">
        <f>IF(AM78=21,J78,0)</f>
        <v>0</v>
      </c>
      <c r="AM78" s="41">
        <v>21</v>
      </c>
      <c r="AN78" s="41">
        <f>G78*0.0923431465653688</f>
        <v>0</v>
      </c>
      <c r="AO78" s="41">
        <f>G78*(1-0.0923431465653688)</f>
        <v>0</v>
      </c>
      <c r="AP78" s="42" t="s">
        <v>7</v>
      </c>
      <c r="AU78" s="41">
        <f>AV78+AW78</f>
        <v>0</v>
      </c>
      <c r="AV78" s="41">
        <f>F78*AN78</f>
        <v>0</v>
      </c>
      <c r="AW78" s="41">
        <f>F78*AO78</f>
        <v>0</v>
      </c>
      <c r="AX78" s="44" t="s">
        <v>224</v>
      </c>
      <c r="AY78" s="44" t="s">
        <v>233</v>
      </c>
      <c r="AZ78" s="38" t="s">
        <v>235</v>
      </c>
      <c r="BB78" s="41">
        <f>AV78+AW78</f>
        <v>0</v>
      </c>
      <c r="BC78" s="41">
        <f>G78/(100-BD78)*100</f>
        <v>0</v>
      </c>
      <c r="BD78" s="41">
        <v>0</v>
      </c>
      <c r="BE78" s="41">
        <f>L78</f>
        <v>5.0000000000000001E-4</v>
      </c>
      <c r="BG78" s="27">
        <f>F78*AN78</f>
        <v>0</v>
      </c>
      <c r="BH78" s="27">
        <f>F78*AO78</f>
        <v>0</v>
      </c>
      <c r="BI78" s="27">
        <f>F78*G78</f>
        <v>0</v>
      </c>
      <c r="BJ78" s="27" t="s">
        <v>240</v>
      </c>
      <c r="BK78" s="41">
        <v>91</v>
      </c>
    </row>
    <row r="79" spans="1:63" x14ac:dyDescent="0.25">
      <c r="A79" s="5"/>
      <c r="C79" s="19" t="s">
        <v>56</v>
      </c>
      <c r="D79" s="104" t="s">
        <v>150</v>
      </c>
      <c r="E79" s="105"/>
      <c r="F79" s="105"/>
      <c r="G79" s="105"/>
      <c r="H79" s="105"/>
      <c r="I79" s="105"/>
      <c r="J79" s="105"/>
      <c r="K79" s="105"/>
      <c r="L79" s="105"/>
      <c r="M79" s="5"/>
    </row>
    <row r="80" spans="1:63" x14ac:dyDescent="0.25">
      <c r="A80" s="5"/>
      <c r="D80" s="21" t="s">
        <v>11</v>
      </c>
      <c r="F80" s="28">
        <v>5</v>
      </c>
      <c r="M80" s="5"/>
    </row>
    <row r="81" spans="1:63" x14ac:dyDescent="0.25">
      <c r="A81" s="5"/>
      <c r="C81" s="18" t="s">
        <v>49</v>
      </c>
      <c r="D81" s="109" t="s">
        <v>151</v>
      </c>
      <c r="E81" s="110"/>
      <c r="F81" s="110"/>
      <c r="G81" s="110"/>
      <c r="H81" s="110"/>
      <c r="I81" s="110"/>
      <c r="J81" s="110"/>
      <c r="K81" s="110"/>
      <c r="L81" s="110"/>
      <c r="M81" s="5"/>
    </row>
    <row r="82" spans="1:63" x14ac:dyDescent="0.25">
      <c r="A82" s="4" t="s">
        <v>34</v>
      </c>
      <c r="B82" s="14"/>
      <c r="C82" s="14" t="s">
        <v>78</v>
      </c>
      <c r="D82" s="14" t="s">
        <v>152</v>
      </c>
      <c r="E82" s="14" t="s">
        <v>188</v>
      </c>
      <c r="F82" s="27">
        <v>5</v>
      </c>
      <c r="G82" s="142"/>
      <c r="H82" s="27">
        <f>F82*AN82</f>
        <v>0</v>
      </c>
      <c r="I82" s="27">
        <f>F82*AO82</f>
        <v>0</v>
      </c>
      <c r="J82" s="27">
        <f>F82*G82</f>
        <v>0</v>
      </c>
      <c r="K82" s="27">
        <v>0</v>
      </c>
      <c r="L82" s="27">
        <f>F82*K82</f>
        <v>0</v>
      </c>
      <c r="M82" s="5"/>
      <c r="Y82" s="41">
        <f>IF(AP82="5",BI82,0)</f>
        <v>0</v>
      </c>
      <c r="AA82" s="41">
        <f>IF(AP82="1",BG82,0)</f>
        <v>0</v>
      </c>
      <c r="AB82" s="41">
        <f>IF(AP82="1",BH82,0)</f>
        <v>0</v>
      </c>
      <c r="AC82" s="41">
        <f>IF(AP82="7",BG82,0)</f>
        <v>0</v>
      </c>
      <c r="AD82" s="41">
        <f>IF(AP82="7",BH82,0)</f>
        <v>0</v>
      </c>
      <c r="AE82" s="41">
        <f>IF(AP82="2",BG82,0)</f>
        <v>0</v>
      </c>
      <c r="AF82" s="41">
        <f>IF(AP82="2",BH82,0)</f>
        <v>0</v>
      </c>
      <c r="AG82" s="41">
        <f>IF(AP82="0",BI82,0)</f>
        <v>0</v>
      </c>
      <c r="AH82" s="38"/>
      <c r="AI82" s="27">
        <f>IF(AM82=0,J82,0)</f>
        <v>0</v>
      </c>
      <c r="AJ82" s="27">
        <f>IF(AM82=15,J82,0)</f>
        <v>0</v>
      </c>
      <c r="AK82" s="27">
        <f>IF(AM82=21,J82,0)</f>
        <v>0</v>
      </c>
      <c r="AM82" s="41">
        <v>21</v>
      </c>
      <c r="AN82" s="41">
        <f>G82*0.602841205697251</f>
        <v>0</v>
      </c>
      <c r="AO82" s="41">
        <f>G82*(1-0.602841205697251)</f>
        <v>0</v>
      </c>
      <c r="AP82" s="42" t="s">
        <v>7</v>
      </c>
      <c r="AU82" s="41">
        <f>AV82+AW82</f>
        <v>0</v>
      </c>
      <c r="AV82" s="41">
        <f>F82*AN82</f>
        <v>0</v>
      </c>
      <c r="AW82" s="41">
        <f>F82*AO82</f>
        <v>0</v>
      </c>
      <c r="AX82" s="44" t="s">
        <v>224</v>
      </c>
      <c r="AY82" s="44" t="s">
        <v>233</v>
      </c>
      <c r="AZ82" s="38" t="s">
        <v>235</v>
      </c>
      <c r="BB82" s="41">
        <f>AV82+AW82</f>
        <v>0</v>
      </c>
      <c r="BC82" s="41">
        <f>G82/(100-BD82)*100</f>
        <v>0</v>
      </c>
      <c r="BD82" s="41">
        <v>0</v>
      </c>
      <c r="BE82" s="41">
        <f>L82</f>
        <v>0</v>
      </c>
      <c r="BG82" s="27">
        <f>F82*AN82</f>
        <v>0</v>
      </c>
      <c r="BH82" s="27">
        <f>F82*AO82</f>
        <v>0</v>
      </c>
      <c r="BI82" s="27">
        <f>F82*G82</f>
        <v>0</v>
      </c>
      <c r="BJ82" s="27" t="s">
        <v>240</v>
      </c>
      <c r="BK82" s="41">
        <v>91</v>
      </c>
    </row>
    <row r="83" spans="1:63" x14ac:dyDescent="0.25">
      <c r="A83" s="5"/>
      <c r="D83" s="21" t="s">
        <v>11</v>
      </c>
      <c r="F83" s="28">
        <v>5</v>
      </c>
      <c r="M83" s="5"/>
    </row>
    <row r="84" spans="1:63" x14ac:dyDescent="0.25">
      <c r="A84" s="4" t="s">
        <v>35</v>
      </c>
      <c r="B84" s="14"/>
      <c r="C84" s="14" t="s">
        <v>79</v>
      </c>
      <c r="D84" s="14" t="s">
        <v>153</v>
      </c>
      <c r="E84" s="14" t="s">
        <v>189</v>
      </c>
      <c r="F84" s="27">
        <v>4</v>
      </c>
      <c r="G84" s="142"/>
      <c r="H84" s="27">
        <f>F84*AN84</f>
        <v>0</v>
      </c>
      <c r="I84" s="27">
        <f>F84*AO84</f>
        <v>0</v>
      </c>
      <c r="J84" s="27">
        <f>F84*G84</f>
        <v>0</v>
      </c>
      <c r="K84" s="27">
        <v>1.6167899999999999</v>
      </c>
      <c r="L84" s="27">
        <f>F84*K84</f>
        <v>6.4671599999999998</v>
      </c>
      <c r="M84" s="5"/>
      <c r="Y84" s="41">
        <f>IF(AP84="5",BI84,0)</f>
        <v>0</v>
      </c>
      <c r="AA84" s="41">
        <f>IF(AP84="1",BG84,0)</f>
        <v>0</v>
      </c>
      <c r="AB84" s="41">
        <f>IF(AP84="1",BH84,0)</f>
        <v>0</v>
      </c>
      <c r="AC84" s="41">
        <f>IF(AP84="7",BG84,0)</f>
        <v>0</v>
      </c>
      <c r="AD84" s="41">
        <f>IF(AP84="7",BH84,0)</f>
        <v>0</v>
      </c>
      <c r="AE84" s="41">
        <f>IF(AP84="2",BG84,0)</f>
        <v>0</v>
      </c>
      <c r="AF84" s="41">
        <f>IF(AP84="2",BH84,0)</f>
        <v>0</v>
      </c>
      <c r="AG84" s="41">
        <f>IF(AP84="0",BI84,0)</f>
        <v>0</v>
      </c>
      <c r="AH84" s="38"/>
      <c r="AI84" s="27">
        <f>IF(AM84=0,J84,0)</f>
        <v>0</v>
      </c>
      <c r="AJ84" s="27">
        <f>IF(AM84=15,J84,0)</f>
        <v>0</v>
      </c>
      <c r="AK84" s="27">
        <f>IF(AM84=21,J84,0)</f>
        <v>0</v>
      </c>
      <c r="AM84" s="41">
        <v>21</v>
      </c>
      <c r="AN84" s="41">
        <f>G84*0.837218611805422</f>
        <v>0</v>
      </c>
      <c r="AO84" s="41">
        <f>G84*(1-0.837218611805422)</f>
        <v>0</v>
      </c>
      <c r="AP84" s="42" t="s">
        <v>7</v>
      </c>
      <c r="AU84" s="41">
        <f>AV84+AW84</f>
        <v>0</v>
      </c>
      <c r="AV84" s="41">
        <f>F84*AN84</f>
        <v>0</v>
      </c>
      <c r="AW84" s="41">
        <f>F84*AO84</f>
        <v>0</v>
      </c>
      <c r="AX84" s="44" t="s">
        <v>224</v>
      </c>
      <c r="AY84" s="44" t="s">
        <v>233</v>
      </c>
      <c r="AZ84" s="38" t="s">
        <v>235</v>
      </c>
      <c r="BB84" s="41">
        <f>AV84+AW84</f>
        <v>0</v>
      </c>
      <c r="BC84" s="41">
        <f>G84/(100-BD84)*100</f>
        <v>0</v>
      </c>
      <c r="BD84" s="41">
        <v>0</v>
      </c>
      <c r="BE84" s="41">
        <f>L84</f>
        <v>6.4671599999999998</v>
      </c>
      <c r="BG84" s="27">
        <f>F84*AN84</f>
        <v>0</v>
      </c>
      <c r="BH84" s="27">
        <f>F84*AO84</f>
        <v>0</v>
      </c>
      <c r="BI84" s="27">
        <f>F84*G84</f>
        <v>0</v>
      </c>
      <c r="BJ84" s="27" t="s">
        <v>240</v>
      </c>
      <c r="BK84" s="41">
        <v>91</v>
      </c>
    </row>
    <row r="85" spans="1:63" x14ac:dyDescent="0.25">
      <c r="A85" s="5"/>
      <c r="C85" s="19" t="s">
        <v>56</v>
      </c>
      <c r="D85" s="104" t="s">
        <v>306</v>
      </c>
      <c r="E85" s="105"/>
      <c r="F85" s="105"/>
      <c r="G85" s="105"/>
      <c r="H85" s="105"/>
      <c r="I85" s="105"/>
      <c r="J85" s="105"/>
      <c r="K85" s="105"/>
      <c r="L85" s="105"/>
      <c r="M85" s="5"/>
    </row>
    <row r="86" spans="1:63" x14ac:dyDescent="0.25">
      <c r="A86" s="6"/>
      <c r="B86" s="15"/>
      <c r="C86" s="15" t="s">
        <v>80</v>
      </c>
      <c r="D86" s="15" t="s">
        <v>154</v>
      </c>
      <c r="E86" s="25" t="s">
        <v>6</v>
      </c>
      <c r="F86" s="25" t="s">
        <v>6</v>
      </c>
      <c r="G86" s="25" t="s">
        <v>6</v>
      </c>
      <c r="H86" s="47">
        <f>SUM(H87:H90)</f>
        <v>0</v>
      </c>
      <c r="I86" s="47">
        <f>SUM(I87:I90)</f>
        <v>0</v>
      </c>
      <c r="J86" s="47">
        <f>SUM(J87:J90)</f>
        <v>0</v>
      </c>
      <c r="K86" s="38"/>
      <c r="L86" s="47">
        <f>SUM(L87:L90)</f>
        <v>3.7800000000000002</v>
      </c>
      <c r="M86" s="5"/>
      <c r="AH86" s="38"/>
      <c r="AR86" s="47">
        <f>SUM(AI87:AI90)</f>
        <v>0</v>
      </c>
      <c r="AS86" s="47">
        <f>SUM(AJ87:AJ90)</f>
        <v>0</v>
      </c>
      <c r="AT86" s="47">
        <f>SUM(AK87:AK90)</f>
        <v>0</v>
      </c>
    </row>
    <row r="87" spans="1:63" x14ac:dyDescent="0.25">
      <c r="A87" s="4" t="s">
        <v>36</v>
      </c>
      <c r="B87" s="14"/>
      <c r="C87" s="14" t="s">
        <v>81</v>
      </c>
      <c r="D87" s="14" t="s">
        <v>155</v>
      </c>
      <c r="E87" s="14" t="s">
        <v>187</v>
      </c>
      <c r="F87" s="27">
        <v>251</v>
      </c>
      <c r="G87" s="142"/>
      <c r="H87" s="27">
        <f>F87*AN87</f>
        <v>0</v>
      </c>
      <c r="I87" s="27">
        <f>F87*AO87</f>
        <v>0</v>
      </c>
      <c r="J87" s="27">
        <f>F87*G87</f>
        <v>0</v>
      </c>
      <c r="K87" s="27">
        <v>0</v>
      </c>
      <c r="L87" s="27">
        <f>F87*K87</f>
        <v>0</v>
      </c>
      <c r="M87" s="5"/>
      <c r="Y87" s="41">
        <f>IF(AP87="5",BI87,0)</f>
        <v>0</v>
      </c>
      <c r="AA87" s="41">
        <f>IF(AP87="1",BG87,0)</f>
        <v>0</v>
      </c>
      <c r="AB87" s="41">
        <f>IF(AP87="1",BH87,0)</f>
        <v>0</v>
      </c>
      <c r="AC87" s="41">
        <f>IF(AP87="7",BG87,0)</f>
        <v>0</v>
      </c>
      <c r="AD87" s="41">
        <f>IF(AP87="7",BH87,0)</f>
        <v>0</v>
      </c>
      <c r="AE87" s="41">
        <f>IF(AP87="2",BG87,0)</f>
        <v>0</v>
      </c>
      <c r="AF87" s="41">
        <f>IF(AP87="2",BH87,0)</f>
        <v>0</v>
      </c>
      <c r="AG87" s="41">
        <f>IF(AP87="0",BI87,0)</f>
        <v>0</v>
      </c>
      <c r="AH87" s="38"/>
      <c r="AI87" s="27">
        <f>IF(AM87=0,J87,0)</f>
        <v>0</v>
      </c>
      <c r="AJ87" s="27">
        <f>IF(AM87=15,J87,0)</f>
        <v>0</v>
      </c>
      <c r="AK87" s="27">
        <f>IF(AM87=21,J87,0)</f>
        <v>0</v>
      </c>
      <c r="AM87" s="41">
        <v>21</v>
      </c>
      <c r="AN87" s="41">
        <f>G87*0.328378382812381</f>
        <v>0</v>
      </c>
      <c r="AO87" s="41">
        <f>G87*(1-0.328378382812381)</f>
        <v>0</v>
      </c>
      <c r="AP87" s="42" t="s">
        <v>7</v>
      </c>
      <c r="AU87" s="41">
        <f>AV87+AW87</f>
        <v>0</v>
      </c>
      <c r="AV87" s="41">
        <f>F87*AN87</f>
        <v>0</v>
      </c>
      <c r="AW87" s="41">
        <f>F87*AO87</f>
        <v>0</v>
      </c>
      <c r="AX87" s="44" t="s">
        <v>225</v>
      </c>
      <c r="AY87" s="44" t="s">
        <v>233</v>
      </c>
      <c r="AZ87" s="38" t="s">
        <v>235</v>
      </c>
      <c r="BB87" s="41">
        <f>AV87+AW87</f>
        <v>0</v>
      </c>
      <c r="BC87" s="41">
        <f>G87/(100-BD87)*100</f>
        <v>0</v>
      </c>
      <c r="BD87" s="41">
        <v>0</v>
      </c>
      <c r="BE87" s="41">
        <f>L87</f>
        <v>0</v>
      </c>
      <c r="BG87" s="27">
        <f>F87*AN87</f>
        <v>0</v>
      </c>
      <c r="BH87" s="27">
        <f>F87*AO87</f>
        <v>0</v>
      </c>
      <c r="BI87" s="27">
        <f>F87*G87</f>
        <v>0</v>
      </c>
      <c r="BJ87" s="27" t="s">
        <v>240</v>
      </c>
      <c r="BK87" s="41">
        <v>93</v>
      </c>
    </row>
    <row r="88" spans="1:63" x14ac:dyDescent="0.25">
      <c r="A88" s="5"/>
      <c r="D88" s="21" t="s">
        <v>307</v>
      </c>
      <c r="F88" s="28">
        <v>251</v>
      </c>
      <c r="M88" s="5"/>
    </row>
    <row r="89" spans="1:63" x14ac:dyDescent="0.25">
      <c r="A89" s="5"/>
      <c r="C89" s="18" t="s">
        <v>49</v>
      </c>
      <c r="D89" s="109" t="s">
        <v>156</v>
      </c>
      <c r="E89" s="110"/>
      <c r="F89" s="110"/>
      <c r="G89" s="110"/>
      <c r="H89" s="110"/>
      <c r="I89" s="110"/>
      <c r="J89" s="110"/>
      <c r="K89" s="110"/>
      <c r="L89" s="110"/>
      <c r="M89" s="5"/>
    </row>
    <row r="90" spans="1:63" x14ac:dyDescent="0.25">
      <c r="A90" s="4" t="s">
        <v>37</v>
      </c>
      <c r="B90" s="14"/>
      <c r="C90" s="14" t="s">
        <v>82</v>
      </c>
      <c r="D90" s="14" t="s">
        <v>157</v>
      </c>
      <c r="E90" s="14" t="s">
        <v>187</v>
      </c>
      <c r="F90" s="27">
        <v>30</v>
      </c>
      <c r="G90" s="142"/>
      <c r="H90" s="27">
        <f>F90*AN90</f>
        <v>0</v>
      </c>
      <c r="I90" s="27">
        <f>F90*AO90</f>
        <v>0</v>
      </c>
      <c r="J90" s="27">
        <f>F90*G90</f>
        <v>0</v>
      </c>
      <c r="K90" s="27">
        <v>0.126</v>
      </c>
      <c r="L90" s="27">
        <f>F90*K90</f>
        <v>3.7800000000000002</v>
      </c>
      <c r="M90" s="5"/>
      <c r="Y90" s="41">
        <f>IF(AP90="5",BI90,0)</f>
        <v>0</v>
      </c>
      <c r="AA90" s="41">
        <f>IF(AP90="1",BG90,0)</f>
        <v>0</v>
      </c>
      <c r="AB90" s="41">
        <f>IF(AP90="1",BH90,0)</f>
        <v>0</v>
      </c>
      <c r="AC90" s="41">
        <f>IF(AP90="7",BG90,0)</f>
        <v>0</v>
      </c>
      <c r="AD90" s="41">
        <f>IF(AP90="7",BH90,0)</f>
        <v>0</v>
      </c>
      <c r="AE90" s="41">
        <f>IF(AP90="2",BG90,0)</f>
        <v>0</v>
      </c>
      <c r="AF90" s="41">
        <f>IF(AP90="2",BH90,0)</f>
        <v>0</v>
      </c>
      <c r="AG90" s="41">
        <f>IF(AP90="0",BI90,0)</f>
        <v>0</v>
      </c>
      <c r="AH90" s="38"/>
      <c r="AI90" s="27">
        <f>IF(AM90=0,J90,0)</f>
        <v>0</v>
      </c>
      <c r="AJ90" s="27">
        <f>IF(AM90=15,J90,0)</f>
        <v>0</v>
      </c>
      <c r="AK90" s="27">
        <f>IF(AM90=21,J90,0)</f>
        <v>0</v>
      </c>
      <c r="AM90" s="41">
        <v>21</v>
      </c>
      <c r="AN90" s="41">
        <f>G90*0</f>
        <v>0</v>
      </c>
      <c r="AO90" s="41">
        <f>G90*(1-0)</f>
        <v>0</v>
      </c>
      <c r="AP90" s="42" t="s">
        <v>7</v>
      </c>
      <c r="AU90" s="41">
        <f>AV90+AW90</f>
        <v>0</v>
      </c>
      <c r="AV90" s="41">
        <f>F90*AN90</f>
        <v>0</v>
      </c>
      <c r="AW90" s="41">
        <f>F90*AO90</f>
        <v>0</v>
      </c>
      <c r="AX90" s="44" t="s">
        <v>225</v>
      </c>
      <c r="AY90" s="44" t="s">
        <v>233</v>
      </c>
      <c r="AZ90" s="38" t="s">
        <v>235</v>
      </c>
      <c r="BB90" s="41">
        <f>AV90+AW90</f>
        <v>0</v>
      </c>
      <c r="BC90" s="41">
        <f>G90/(100-BD90)*100</f>
        <v>0</v>
      </c>
      <c r="BD90" s="41">
        <v>0</v>
      </c>
      <c r="BE90" s="41">
        <f>L90</f>
        <v>3.7800000000000002</v>
      </c>
      <c r="BG90" s="27">
        <f>F90*AN90</f>
        <v>0</v>
      </c>
      <c r="BH90" s="27">
        <f>F90*AO90</f>
        <v>0</v>
      </c>
      <c r="BI90" s="27">
        <f>F90*G90</f>
        <v>0</v>
      </c>
      <c r="BJ90" s="27" t="s">
        <v>240</v>
      </c>
      <c r="BK90" s="41">
        <v>93</v>
      </c>
    </row>
    <row r="91" spans="1:63" x14ac:dyDescent="0.25">
      <c r="A91" s="5"/>
      <c r="C91" s="19" t="s">
        <v>56</v>
      </c>
      <c r="D91" s="104" t="s">
        <v>158</v>
      </c>
      <c r="E91" s="105"/>
      <c r="F91" s="105"/>
      <c r="G91" s="105"/>
      <c r="H91" s="105"/>
      <c r="I91" s="105"/>
      <c r="J91" s="105"/>
      <c r="K91" s="105"/>
      <c r="L91" s="105"/>
      <c r="M91" s="5"/>
    </row>
    <row r="92" spans="1:63" x14ac:dyDescent="0.25">
      <c r="A92" s="6"/>
      <c r="B92" s="15"/>
      <c r="C92" s="15" t="s">
        <v>83</v>
      </c>
      <c r="D92" s="15" t="s">
        <v>159</v>
      </c>
      <c r="E92" s="25" t="s">
        <v>6</v>
      </c>
      <c r="F92" s="25" t="s">
        <v>6</v>
      </c>
      <c r="G92" s="25" t="s">
        <v>6</v>
      </c>
      <c r="H92" s="47">
        <f>SUM(H93:H93)</f>
        <v>0</v>
      </c>
      <c r="I92" s="47">
        <f>SUM(I93:I93)</f>
        <v>0</v>
      </c>
      <c r="J92" s="47">
        <f>SUM(J93:J93)</f>
        <v>0</v>
      </c>
      <c r="K92" s="38"/>
      <c r="L92" s="47">
        <f>SUM(L93:L93)</f>
        <v>0</v>
      </c>
      <c r="M92" s="5"/>
      <c r="AH92" s="38"/>
      <c r="AR92" s="47">
        <f>SUM(AI93:AI93)</f>
        <v>0</v>
      </c>
      <c r="AS92" s="47">
        <f>SUM(AJ93:AJ93)</f>
        <v>0</v>
      </c>
      <c r="AT92" s="47">
        <f>SUM(AK93:AK93)</f>
        <v>0</v>
      </c>
    </row>
    <row r="93" spans="1:63" x14ac:dyDescent="0.25">
      <c r="A93" s="4" t="s">
        <v>38</v>
      </c>
      <c r="B93" s="14"/>
      <c r="C93" s="14" t="s">
        <v>84</v>
      </c>
      <c r="D93" s="14" t="s">
        <v>160</v>
      </c>
      <c r="E93" s="14" t="s">
        <v>187</v>
      </c>
      <c r="F93" s="27">
        <v>3</v>
      </c>
      <c r="G93" s="142"/>
      <c r="H93" s="27">
        <f>F93*AN93</f>
        <v>0</v>
      </c>
      <c r="I93" s="27">
        <f>F93*AO93</f>
        <v>0</v>
      </c>
      <c r="J93" s="27">
        <f>F93*G93</f>
        <v>0</v>
      </c>
      <c r="K93" s="27">
        <v>0</v>
      </c>
      <c r="L93" s="27">
        <f>F93*K93</f>
        <v>0</v>
      </c>
      <c r="M93" s="5"/>
      <c r="Y93" s="41">
        <f>IF(AP93="5",BI93,0)</f>
        <v>0</v>
      </c>
      <c r="AA93" s="41">
        <f>IF(AP93="1",BG93,0)</f>
        <v>0</v>
      </c>
      <c r="AB93" s="41">
        <f>IF(AP93="1",BH93,0)</f>
        <v>0</v>
      </c>
      <c r="AC93" s="41">
        <f>IF(AP93="7",BG93,0)</f>
        <v>0</v>
      </c>
      <c r="AD93" s="41">
        <f>IF(AP93="7",BH93,0)</f>
        <v>0</v>
      </c>
      <c r="AE93" s="41">
        <f>IF(AP93="2",BG93,0)</f>
        <v>0</v>
      </c>
      <c r="AF93" s="41">
        <f>IF(AP93="2",BH93,0)</f>
        <v>0</v>
      </c>
      <c r="AG93" s="41">
        <f>IF(AP93="0",BI93,0)</f>
        <v>0</v>
      </c>
      <c r="AH93" s="38"/>
      <c r="AI93" s="27">
        <f>IF(AM93=0,J93,0)</f>
        <v>0</v>
      </c>
      <c r="AJ93" s="27">
        <f>IF(AM93=15,J93,0)</f>
        <v>0</v>
      </c>
      <c r="AK93" s="27">
        <f>IF(AM93=21,J93,0)</f>
        <v>0</v>
      </c>
      <c r="AM93" s="41">
        <v>21</v>
      </c>
      <c r="AN93" s="41">
        <f>G93*0</f>
        <v>0</v>
      </c>
      <c r="AO93" s="41">
        <f>G93*(1-0)</f>
        <v>0</v>
      </c>
      <c r="AP93" s="42" t="s">
        <v>7</v>
      </c>
      <c r="AU93" s="41">
        <f>AV93+AW93</f>
        <v>0</v>
      </c>
      <c r="AV93" s="41">
        <f>F93*AN93</f>
        <v>0</v>
      </c>
      <c r="AW93" s="41">
        <f>F93*AO93</f>
        <v>0</v>
      </c>
      <c r="AX93" s="44" t="s">
        <v>226</v>
      </c>
      <c r="AY93" s="44" t="s">
        <v>233</v>
      </c>
      <c r="AZ93" s="38" t="s">
        <v>235</v>
      </c>
      <c r="BB93" s="41">
        <f>AV93+AW93</f>
        <v>0</v>
      </c>
      <c r="BC93" s="41">
        <f>G93/(100-BD93)*100</f>
        <v>0</v>
      </c>
      <c r="BD93" s="41">
        <v>0</v>
      </c>
      <c r="BE93" s="41">
        <f>L93</f>
        <v>0</v>
      </c>
      <c r="BG93" s="27">
        <f>F93*AN93</f>
        <v>0</v>
      </c>
      <c r="BH93" s="27">
        <f>F93*AO93</f>
        <v>0</v>
      </c>
      <c r="BI93" s="27">
        <f>F93*G93</f>
        <v>0</v>
      </c>
      <c r="BJ93" s="27" t="s">
        <v>240</v>
      </c>
      <c r="BK93" s="41">
        <v>97</v>
      </c>
    </row>
    <row r="94" spans="1:63" x14ac:dyDescent="0.25">
      <c r="A94" s="6"/>
      <c r="B94" s="15"/>
      <c r="C94" s="15" t="s">
        <v>85</v>
      </c>
      <c r="D94" s="15" t="s">
        <v>161</v>
      </c>
      <c r="E94" s="25" t="s">
        <v>6</v>
      </c>
      <c r="F94" s="25" t="s">
        <v>6</v>
      </c>
      <c r="G94" s="25" t="s">
        <v>6</v>
      </c>
      <c r="H94" s="47">
        <f>SUM(H95:H95)</f>
        <v>0</v>
      </c>
      <c r="I94" s="47">
        <f>SUM(I95:I95)</f>
        <v>0</v>
      </c>
      <c r="J94" s="47">
        <f>SUM(J95:J95)</f>
        <v>0</v>
      </c>
      <c r="K94" s="38"/>
      <c r="L94" s="47">
        <f>SUM(L95:L95)</f>
        <v>0</v>
      </c>
      <c r="M94" s="5"/>
      <c r="AH94" s="38"/>
      <c r="AR94" s="47">
        <f>SUM(AI95:AI95)</f>
        <v>0</v>
      </c>
      <c r="AS94" s="47">
        <f>SUM(AJ95:AJ95)</f>
        <v>0</v>
      </c>
      <c r="AT94" s="47">
        <f>SUM(AK95:AK95)</f>
        <v>0</v>
      </c>
    </row>
    <row r="95" spans="1:63" x14ac:dyDescent="0.25">
      <c r="A95" s="84" t="s">
        <v>39</v>
      </c>
      <c r="B95" s="84"/>
      <c r="C95" s="84" t="s">
        <v>86</v>
      </c>
      <c r="D95" s="84" t="s">
        <v>162</v>
      </c>
      <c r="E95" s="84" t="s">
        <v>190</v>
      </c>
      <c r="F95" s="85">
        <f>L49+L59+L68+L72+L86</f>
        <v>145.62855000000002</v>
      </c>
      <c r="G95" s="145"/>
      <c r="H95" s="85">
        <f>F95*AN95</f>
        <v>0</v>
      </c>
      <c r="I95" s="85">
        <f>F95*AO95</f>
        <v>0</v>
      </c>
      <c r="J95" s="85">
        <f>F95*G95</f>
        <v>0</v>
      </c>
      <c r="K95" s="85">
        <v>0</v>
      </c>
      <c r="L95" s="85">
        <f>F95*K95</f>
        <v>0</v>
      </c>
      <c r="M95" s="81"/>
      <c r="Y95" s="41">
        <f>IF(AP95="5",BI95,0)</f>
        <v>0</v>
      </c>
      <c r="AA95" s="41">
        <f>IF(AP95="1",BG95,0)</f>
        <v>0</v>
      </c>
      <c r="AB95" s="41">
        <f>IF(AP95="1",BH95,0)</f>
        <v>0</v>
      </c>
      <c r="AC95" s="41">
        <f>IF(AP95="7",BG95,0)</f>
        <v>0</v>
      </c>
      <c r="AD95" s="41">
        <f>IF(AP95="7",BH95,0)</f>
        <v>0</v>
      </c>
      <c r="AE95" s="41">
        <f>IF(AP95="2",BG95,0)</f>
        <v>0</v>
      </c>
      <c r="AF95" s="41">
        <f>IF(AP95="2",BH95,0)</f>
        <v>0</v>
      </c>
      <c r="AG95" s="41">
        <f>IF(AP95="0",BI95,0)</f>
        <v>0</v>
      </c>
      <c r="AH95" s="38"/>
      <c r="AI95" s="27">
        <f>IF(AM95=0,J95,0)</f>
        <v>0</v>
      </c>
      <c r="AJ95" s="27">
        <f>IF(AM95=15,J95,0)</f>
        <v>0</v>
      </c>
      <c r="AK95" s="27">
        <f>IF(AM95=21,J95,0)</f>
        <v>0</v>
      </c>
      <c r="AM95" s="41">
        <v>21</v>
      </c>
      <c r="AN95" s="41">
        <f>G95*0</f>
        <v>0</v>
      </c>
      <c r="AO95" s="41">
        <f>G95*(1-0)</f>
        <v>0</v>
      </c>
      <c r="AP95" s="42" t="s">
        <v>11</v>
      </c>
      <c r="AU95" s="41">
        <f>AV95+AW95</f>
        <v>0</v>
      </c>
      <c r="AV95" s="41">
        <f>F95*AN95</f>
        <v>0</v>
      </c>
      <c r="AW95" s="41">
        <f>F95*AO95</f>
        <v>0</v>
      </c>
      <c r="AX95" s="44" t="s">
        <v>227</v>
      </c>
      <c r="AY95" s="44" t="s">
        <v>233</v>
      </c>
      <c r="AZ95" s="38" t="s">
        <v>235</v>
      </c>
      <c r="BB95" s="41">
        <f>AV95+AW95</f>
        <v>0</v>
      </c>
      <c r="BC95" s="41">
        <f>G95/(100-BD95)*100</f>
        <v>0</v>
      </c>
      <c r="BD95" s="41">
        <v>0</v>
      </c>
      <c r="BE95" s="41">
        <f>L95</f>
        <v>0</v>
      </c>
      <c r="BG95" s="27">
        <f>F95*AN95</f>
        <v>0</v>
      </c>
      <c r="BH95" s="27">
        <f>F95*AO95</f>
        <v>0</v>
      </c>
      <c r="BI95" s="27">
        <f>F95*G95</f>
        <v>0</v>
      </c>
      <c r="BJ95" s="27" t="s">
        <v>240</v>
      </c>
      <c r="BK95" s="41" t="s">
        <v>85</v>
      </c>
    </row>
    <row r="96" spans="1:63" x14ac:dyDescent="0.25">
      <c r="A96" s="86"/>
      <c r="B96" s="87"/>
      <c r="C96" s="87"/>
      <c r="D96" s="88" t="s">
        <v>308</v>
      </c>
      <c r="E96" s="87"/>
      <c r="F96" s="89">
        <v>145.63</v>
      </c>
      <c r="G96" s="87"/>
      <c r="H96" s="87"/>
      <c r="I96" s="87"/>
      <c r="J96" s="87"/>
      <c r="K96" s="87"/>
      <c r="L96" s="87"/>
      <c r="M96" s="81"/>
    </row>
    <row r="97" spans="1:63" x14ac:dyDescent="0.25">
      <c r="A97" s="6"/>
      <c r="B97" s="15"/>
      <c r="C97" s="15" t="s">
        <v>87</v>
      </c>
      <c r="D97" s="15" t="s">
        <v>163</v>
      </c>
      <c r="E97" s="25" t="s">
        <v>6</v>
      </c>
      <c r="F97" s="25" t="s">
        <v>6</v>
      </c>
      <c r="G97" s="25" t="s">
        <v>6</v>
      </c>
      <c r="H97" s="47">
        <f>SUM(H98:H103)</f>
        <v>0</v>
      </c>
      <c r="I97" s="47">
        <f>SUM(I98:I103)</f>
        <v>0</v>
      </c>
      <c r="J97" s="47">
        <f>SUM(J98:J103)</f>
        <v>0</v>
      </c>
      <c r="K97" s="38"/>
      <c r="L97" s="47">
        <f>SUM(L98:L103)</f>
        <v>0</v>
      </c>
      <c r="M97" s="5"/>
      <c r="AH97" s="38"/>
      <c r="AR97" s="47">
        <f>SUM(AI98:AI103)</f>
        <v>0</v>
      </c>
      <c r="AS97" s="47">
        <f>SUM(AJ98:AJ103)</f>
        <v>0</v>
      </c>
      <c r="AT97" s="47">
        <f>SUM(AK98:AK103)</f>
        <v>0</v>
      </c>
    </row>
    <row r="98" spans="1:63" x14ac:dyDescent="0.25">
      <c r="A98" s="4" t="s">
        <v>40</v>
      </c>
      <c r="B98" s="14"/>
      <c r="C98" s="14" t="s">
        <v>88</v>
      </c>
      <c r="D98" s="14" t="s">
        <v>164</v>
      </c>
      <c r="E98" s="14" t="s">
        <v>190</v>
      </c>
      <c r="F98" s="27">
        <f>L31</f>
        <v>71.293000000000006</v>
      </c>
      <c r="G98" s="142"/>
      <c r="H98" s="27">
        <f>F98*AN98</f>
        <v>0</v>
      </c>
      <c r="I98" s="27">
        <f>F98*AO98</f>
        <v>0</v>
      </c>
      <c r="J98" s="27">
        <f>F98*G98</f>
        <v>0</v>
      </c>
      <c r="K98" s="27">
        <v>0</v>
      </c>
      <c r="L98" s="27">
        <f>F98*K98</f>
        <v>0</v>
      </c>
      <c r="M98" s="5"/>
      <c r="Y98" s="41">
        <f>IF(AP98="5",BI98,0)</f>
        <v>0</v>
      </c>
      <c r="AA98" s="41">
        <f>IF(AP98="1",BG98,0)</f>
        <v>0</v>
      </c>
      <c r="AB98" s="41">
        <f>IF(AP98="1",BH98,0)</f>
        <v>0</v>
      </c>
      <c r="AC98" s="41">
        <f>IF(AP98="7",BG98,0)</f>
        <v>0</v>
      </c>
      <c r="AD98" s="41">
        <f>IF(AP98="7",BH98,0)</f>
        <v>0</v>
      </c>
      <c r="AE98" s="41">
        <f>IF(AP98="2",BG98,0)</f>
        <v>0</v>
      </c>
      <c r="AF98" s="41">
        <f>IF(AP98="2",BH98,0)</f>
        <v>0</v>
      </c>
      <c r="AG98" s="41">
        <f>IF(AP98="0",BI98,0)</f>
        <v>0</v>
      </c>
      <c r="AH98" s="38"/>
      <c r="AI98" s="27">
        <f>IF(AM98=0,J98,0)</f>
        <v>0</v>
      </c>
      <c r="AJ98" s="27">
        <f>IF(AM98=15,J98,0)</f>
        <v>0</v>
      </c>
      <c r="AK98" s="27">
        <f>IF(AM98=21,J98,0)</f>
        <v>0</v>
      </c>
      <c r="AM98" s="41">
        <v>21</v>
      </c>
      <c r="AN98" s="41">
        <f>G98*0</f>
        <v>0</v>
      </c>
      <c r="AO98" s="41">
        <f>G98*(1-0)</f>
        <v>0</v>
      </c>
      <c r="AP98" s="42" t="s">
        <v>11</v>
      </c>
      <c r="AU98" s="41">
        <f>AV98+AW98</f>
        <v>0</v>
      </c>
      <c r="AV98" s="41">
        <f>F98*AN98</f>
        <v>0</v>
      </c>
      <c r="AW98" s="41">
        <f>F98*AO98</f>
        <v>0</v>
      </c>
      <c r="AX98" s="44" t="s">
        <v>228</v>
      </c>
      <c r="AY98" s="44" t="s">
        <v>233</v>
      </c>
      <c r="AZ98" s="38" t="s">
        <v>235</v>
      </c>
      <c r="BB98" s="41">
        <f>AV98+AW98</f>
        <v>0</v>
      </c>
      <c r="BC98" s="41">
        <f>G98/(100-BD98)*100</f>
        <v>0</v>
      </c>
      <c r="BD98" s="41">
        <v>0</v>
      </c>
      <c r="BE98" s="41">
        <f>L98</f>
        <v>0</v>
      </c>
      <c r="BG98" s="27">
        <f>F98*AN98</f>
        <v>0</v>
      </c>
      <c r="BH98" s="27">
        <f>F98*AO98</f>
        <v>0</v>
      </c>
      <c r="BI98" s="27">
        <f>F98*G98</f>
        <v>0</v>
      </c>
      <c r="BJ98" s="27" t="s">
        <v>240</v>
      </c>
      <c r="BK98" s="41" t="s">
        <v>87</v>
      </c>
    </row>
    <row r="99" spans="1:63" x14ac:dyDescent="0.25">
      <c r="A99" s="5"/>
      <c r="D99" s="21" t="s">
        <v>309</v>
      </c>
      <c r="F99" s="28">
        <v>71.290000000000006</v>
      </c>
      <c r="M99" s="5"/>
    </row>
    <row r="100" spans="1:63" x14ac:dyDescent="0.25">
      <c r="A100" s="4" t="s">
        <v>41</v>
      </c>
      <c r="B100" s="14"/>
      <c r="C100" s="14" t="s">
        <v>89</v>
      </c>
      <c r="D100" s="14" t="s">
        <v>165</v>
      </c>
      <c r="E100" s="14" t="s">
        <v>190</v>
      </c>
      <c r="F100" s="27">
        <f>F98*9</f>
        <v>641.63700000000006</v>
      </c>
      <c r="G100" s="142"/>
      <c r="H100" s="27">
        <f>F100*AN100</f>
        <v>0</v>
      </c>
      <c r="I100" s="27">
        <f>F100*AO100</f>
        <v>0</v>
      </c>
      <c r="J100" s="27">
        <f>F100*G100</f>
        <v>0</v>
      </c>
      <c r="K100" s="27">
        <v>0</v>
      </c>
      <c r="L100" s="27">
        <f>F100*K100</f>
        <v>0</v>
      </c>
      <c r="M100" s="5"/>
      <c r="Y100" s="41">
        <f>IF(AP100="5",BI100,0)</f>
        <v>0</v>
      </c>
      <c r="AA100" s="41">
        <f>IF(AP100="1",BG100,0)</f>
        <v>0</v>
      </c>
      <c r="AB100" s="41">
        <f>IF(AP100="1",BH100,0)</f>
        <v>0</v>
      </c>
      <c r="AC100" s="41">
        <f>IF(AP100="7",BG100,0)</f>
        <v>0</v>
      </c>
      <c r="AD100" s="41">
        <f>IF(AP100="7",BH100,0)</f>
        <v>0</v>
      </c>
      <c r="AE100" s="41">
        <f>IF(AP100="2",BG100,0)</f>
        <v>0</v>
      </c>
      <c r="AF100" s="41">
        <f>IF(AP100="2",BH100,0)</f>
        <v>0</v>
      </c>
      <c r="AG100" s="41">
        <f>IF(AP100="0",BI100,0)</f>
        <v>0</v>
      </c>
      <c r="AH100" s="38"/>
      <c r="AI100" s="27">
        <f>IF(AM100=0,J100,0)</f>
        <v>0</v>
      </c>
      <c r="AJ100" s="27">
        <f>IF(AM100=15,J100,0)</f>
        <v>0</v>
      </c>
      <c r="AK100" s="27">
        <f>IF(AM100=21,J100,0)</f>
        <v>0</v>
      </c>
      <c r="AM100" s="41">
        <v>21</v>
      </c>
      <c r="AN100" s="41">
        <f>G100*0</f>
        <v>0</v>
      </c>
      <c r="AO100" s="41">
        <f>G100*(1-0)</f>
        <v>0</v>
      </c>
      <c r="AP100" s="42" t="s">
        <v>11</v>
      </c>
      <c r="AU100" s="41">
        <f>AV100+AW100</f>
        <v>0</v>
      </c>
      <c r="AV100" s="41">
        <f>F100*AN100</f>
        <v>0</v>
      </c>
      <c r="AW100" s="41">
        <f>F100*AO100</f>
        <v>0</v>
      </c>
      <c r="AX100" s="44" t="s">
        <v>228</v>
      </c>
      <c r="AY100" s="44" t="s">
        <v>233</v>
      </c>
      <c r="AZ100" s="38" t="s">
        <v>235</v>
      </c>
      <c r="BB100" s="41">
        <f>AV100+AW100</f>
        <v>0</v>
      </c>
      <c r="BC100" s="41">
        <f>G100/(100-BD100)*100</f>
        <v>0</v>
      </c>
      <c r="BD100" s="41">
        <v>0</v>
      </c>
      <c r="BE100" s="41">
        <f>L100</f>
        <v>0</v>
      </c>
      <c r="BG100" s="27">
        <f>F100*AN100</f>
        <v>0</v>
      </c>
      <c r="BH100" s="27">
        <f>F100*AO100</f>
        <v>0</v>
      </c>
      <c r="BI100" s="27">
        <f>F100*G100</f>
        <v>0</v>
      </c>
      <c r="BJ100" s="27" t="s">
        <v>240</v>
      </c>
      <c r="BK100" s="41" t="s">
        <v>87</v>
      </c>
    </row>
    <row r="101" spans="1:63" x14ac:dyDescent="0.25">
      <c r="A101" s="5"/>
      <c r="D101" s="21" t="s">
        <v>310</v>
      </c>
      <c r="F101" s="28">
        <v>641.64</v>
      </c>
      <c r="M101" s="5"/>
    </row>
    <row r="102" spans="1:63" x14ac:dyDescent="0.25">
      <c r="A102" s="5"/>
      <c r="C102" s="18" t="s">
        <v>49</v>
      </c>
      <c r="D102" s="109" t="s">
        <v>166</v>
      </c>
      <c r="E102" s="110"/>
      <c r="F102" s="110"/>
      <c r="G102" s="110"/>
      <c r="H102" s="110"/>
      <c r="I102" s="110"/>
      <c r="J102" s="110"/>
      <c r="K102" s="110"/>
      <c r="L102" s="110"/>
      <c r="M102" s="5"/>
    </row>
    <row r="103" spans="1:63" x14ac:dyDescent="0.25">
      <c r="A103" s="4" t="s">
        <v>42</v>
      </c>
      <c r="B103" s="14"/>
      <c r="C103" s="14" t="s">
        <v>90</v>
      </c>
      <c r="D103" s="14" t="s">
        <v>167</v>
      </c>
      <c r="E103" s="14" t="s">
        <v>190</v>
      </c>
      <c r="F103" s="27">
        <f>F98</f>
        <v>71.293000000000006</v>
      </c>
      <c r="G103" s="142"/>
      <c r="H103" s="27">
        <f>F103*AN103</f>
        <v>0</v>
      </c>
      <c r="I103" s="27">
        <f>F103*AO103</f>
        <v>0</v>
      </c>
      <c r="J103" s="27">
        <f>F103*G103</f>
        <v>0</v>
      </c>
      <c r="K103" s="27">
        <v>0</v>
      </c>
      <c r="L103" s="27">
        <f>F103*K103</f>
        <v>0</v>
      </c>
      <c r="M103" s="5"/>
      <c r="Y103" s="41">
        <f>IF(AP103="5",BI103,0)</f>
        <v>0</v>
      </c>
      <c r="AA103" s="41">
        <f>IF(AP103="1",BG103,0)</f>
        <v>0</v>
      </c>
      <c r="AB103" s="41">
        <f>IF(AP103="1",BH103,0)</f>
        <v>0</v>
      </c>
      <c r="AC103" s="41">
        <f>IF(AP103="7",BG103,0)</f>
        <v>0</v>
      </c>
      <c r="AD103" s="41">
        <f>IF(AP103="7",BH103,0)</f>
        <v>0</v>
      </c>
      <c r="AE103" s="41">
        <f>IF(AP103="2",BG103,0)</f>
        <v>0</v>
      </c>
      <c r="AF103" s="41">
        <f>IF(AP103="2",BH103,0)</f>
        <v>0</v>
      </c>
      <c r="AG103" s="41">
        <f>IF(AP103="0",BI103,0)</f>
        <v>0</v>
      </c>
      <c r="AH103" s="38"/>
      <c r="AI103" s="27">
        <f>IF(AM103=0,J103,0)</f>
        <v>0</v>
      </c>
      <c r="AJ103" s="27">
        <f>IF(AM103=15,J103,0)</f>
        <v>0</v>
      </c>
      <c r="AK103" s="27">
        <f>IF(AM103=21,J103,0)</f>
        <v>0</v>
      </c>
      <c r="AM103" s="41">
        <v>21</v>
      </c>
      <c r="AN103" s="41">
        <f>G103*0</f>
        <v>0</v>
      </c>
      <c r="AO103" s="41">
        <f>G103*(1-0)</f>
        <v>0</v>
      </c>
      <c r="AP103" s="42" t="s">
        <v>11</v>
      </c>
      <c r="AU103" s="41">
        <f>AV103+AW103</f>
        <v>0</v>
      </c>
      <c r="AV103" s="41">
        <f>F103*AN103</f>
        <v>0</v>
      </c>
      <c r="AW103" s="41">
        <f>F103*AO103</f>
        <v>0</v>
      </c>
      <c r="AX103" s="44" t="s">
        <v>228</v>
      </c>
      <c r="AY103" s="44" t="s">
        <v>233</v>
      </c>
      <c r="AZ103" s="38" t="s">
        <v>235</v>
      </c>
      <c r="BB103" s="41">
        <f>AV103+AW103</f>
        <v>0</v>
      </c>
      <c r="BC103" s="41">
        <f>G103/(100-BD103)*100</f>
        <v>0</v>
      </c>
      <c r="BD103" s="41">
        <v>0</v>
      </c>
      <c r="BE103" s="41">
        <f>L103</f>
        <v>0</v>
      </c>
      <c r="BG103" s="27">
        <f>F103*AN103</f>
        <v>0</v>
      </c>
      <c r="BH103" s="27">
        <f>F103*AO103</f>
        <v>0</v>
      </c>
      <c r="BI103" s="27">
        <f>F103*G103</f>
        <v>0</v>
      </c>
      <c r="BJ103" s="27" t="s">
        <v>240</v>
      </c>
      <c r="BK103" s="41" t="s">
        <v>87</v>
      </c>
    </row>
    <row r="104" spans="1:63" x14ac:dyDescent="0.25">
      <c r="A104" s="5"/>
      <c r="C104" s="18" t="s">
        <v>49</v>
      </c>
      <c r="D104" s="109" t="s">
        <v>168</v>
      </c>
      <c r="E104" s="110"/>
      <c r="F104" s="110"/>
      <c r="G104" s="110"/>
      <c r="H104" s="110"/>
      <c r="I104" s="110"/>
      <c r="J104" s="110"/>
      <c r="K104" s="110"/>
      <c r="L104" s="110"/>
      <c r="M104" s="5"/>
    </row>
    <row r="105" spans="1:63" x14ac:dyDescent="0.25">
      <c r="A105" s="6"/>
      <c r="B105" s="15"/>
      <c r="C105" s="15"/>
      <c r="D105" s="15" t="s">
        <v>169</v>
      </c>
      <c r="E105" s="25" t="s">
        <v>6</v>
      </c>
      <c r="F105" s="25" t="s">
        <v>6</v>
      </c>
      <c r="G105" s="25" t="s">
        <v>6</v>
      </c>
      <c r="H105" s="47">
        <f>SUM(H106:H118)</f>
        <v>0</v>
      </c>
      <c r="I105" s="47">
        <f>SUM(I106:I118)</f>
        <v>0</v>
      </c>
      <c r="J105" s="47">
        <f>SUM(J106:J118)</f>
        <v>0</v>
      </c>
      <c r="K105" s="38"/>
      <c r="L105" s="47">
        <f>SUM(L106:L118)</f>
        <v>3.6423000000000001</v>
      </c>
      <c r="M105" s="5"/>
      <c r="AH105" s="38"/>
      <c r="AR105" s="47">
        <f>SUM(AI106:AI118)</f>
        <v>0</v>
      </c>
      <c r="AS105" s="47">
        <f>SUM(AJ106:AJ118)</f>
        <v>0</v>
      </c>
      <c r="AT105" s="47">
        <f>SUM(AK106:AK118)</f>
        <v>0</v>
      </c>
    </row>
    <row r="106" spans="1:63" x14ac:dyDescent="0.25">
      <c r="A106" s="7" t="s">
        <v>43</v>
      </c>
      <c r="B106" s="16"/>
      <c r="C106" s="16" t="s">
        <v>91</v>
      </c>
      <c r="D106" s="16" t="s">
        <v>311</v>
      </c>
      <c r="E106" s="16" t="s">
        <v>189</v>
      </c>
      <c r="F106" s="29">
        <v>13</v>
      </c>
      <c r="G106" s="146"/>
      <c r="H106" s="29">
        <f>F106*AN106</f>
        <v>0</v>
      </c>
      <c r="I106" s="29">
        <f>F106*AO106</f>
        <v>0</v>
      </c>
      <c r="J106" s="29">
        <f>F106*G106</f>
        <v>0</v>
      </c>
      <c r="K106" s="29">
        <v>8.2100000000000006E-2</v>
      </c>
      <c r="L106" s="29">
        <f>F106*K106</f>
        <v>1.0673000000000001</v>
      </c>
      <c r="M106" s="5"/>
      <c r="Y106" s="41">
        <f>IF(AP106="5",BI106,0)</f>
        <v>0</v>
      </c>
      <c r="AA106" s="41">
        <f>IF(AP106="1",BG106,0)</f>
        <v>0</v>
      </c>
      <c r="AB106" s="41">
        <f>IF(AP106="1",BH106,0)</f>
        <v>0</v>
      </c>
      <c r="AC106" s="41">
        <f>IF(AP106="7",BG106,0)</f>
        <v>0</v>
      </c>
      <c r="AD106" s="41">
        <f>IF(AP106="7",BH106,0)</f>
        <v>0</v>
      </c>
      <c r="AE106" s="41">
        <f>IF(AP106="2",BG106,0)</f>
        <v>0</v>
      </c>
      <c r="AF106" s="41">
        <f>IF(AP106="2",BH106,0)</f>
        <v>0</v>
      </c>
      <c r="AG106" s="41">
        <f>IF(AP106="0",BI106,0)</f>
        <v>0</v>
      </c>
      <c r="AH106" s="38"/>
      <c r="AI106" s="29">
        <f>IF(AM106=0,J106,0)</f>
        <v>0</v>
      </c>
      <c r="AJ106" s="29">
        <f>IF(AM106=15,J106,0)</f>
        <v>0</v>
      </c>
      <c r="AK106" s="29">
        <f>IF(AM106=21,J106,0)</f>
        <v>0</v>
      </c>
      <c r="AM106" s="41">
        <v>21</v>
      </c>
      <c r="AN106" s="41">
        <f>G106*1</f>
        <v>0</v>
      </c>
      <c r="AO106" s="41">
        <f>G106*(1-1)</f>
        <v>0</v>
      </c>
      <c r="AP106" s="43" t="s">
        <v>217</v>
      </c>
      <c r="AU106" s="41">
        <f>AV106+AW106</f>
        <v>0</v>
      </c>
      <c r="AV106" s="41">
        <f>F106*AN106</f>
        <v>0</v>
      </c>
      <c r="AW106" s="41">
        <f>F106*AO106</f>
        <v>0</v>
      </c>
      <c r="AX106" s="44" t="s">
        <v>229</v>
      </c>
      <c r="AY106" s="44" t="s">
        <v>234</v>
      </c>
      <c r="AZ106" s="38" t="s">
        <v>235</v>
      </c>
      <c r="BB106" s="41">
        <f>AV106+AW106</f>
        <v>0</v>
      </c>
      <c r="BC106" s="41">
        <f>G106/(100-BD106)*100</f>
        <v>0</v>
      </c>
      <c r="BD106" s="41">
        <v>0</v>
      </c>
      <c r="BE106" s="41">
        <f>L106</f>
        <v>1.0673000000000001</v>
      </c>
      <c r="BG106" s="29">
        <f>F106*AN106</f>
        <v>0</v>
      </c>
      <c r="BH106" s="29">
        <f>F106*AO106</f>
        <v>0</v>
      </c>
      <c r="BI106" s="29">
        <f>F106*G106</f>
        <v>0</v>
      </c>
      <c r="BJ106" s="29" t="s">
        <v>241</v>
      </c>
      <c r="BK106" s="41"/>
    </row>
    <row r="107" spans="1:63" x14ac:dyDescent="0.25">
      <c r="A107" s="5"/>
      <c r="D107" s="21" t="s">
        <v>19</v>
      </c>
      <c r="F107" s="28">
        <v>13</v>
      </c>
      <c r="M107" s="5"/>
    </row>
    <row r="108" spans="1:63" x14ac:dyDescent="0.25">
      <c r="A108" s="5"/>
      <c r="D108" s="21" t="s">
        <v>170</v>
      </c>
      <c r="F108" s="28">
        <v>0.14000000000000001</v>
      </c>
      <c r="M108" s="5"/>
    </row>
    <row r="109" spans="1:63" x14ac:dyDescent="0.25">
      <c r="A109" s="7" t="s">
        <v>44</v>
      </c>
      <c r="B109" s="16"/>
      <c r="C109" s="16" t="s">
        <v>92</v>
      </c>
      <c r="D109" s="16" t="s">
        <v>171</v>
      </c>
      <c r="E109" s="16" t="s">
        <v>189</v>
      </c>
      <c r="F109" s="29">
        <v>20</v>
      </c>
      <c r="G109" s="146"/>
      <c r="H109" s="29">
        <f>F109*AN109</f>
        <v>0</v>
      </c>
      <c r="I109" s="29">
        <f>F109*AO109</f>
        <v>0</v>
      </c>
      <c r="J109" s="29">
        <f>F109*G109</f>
        <v>0</v>
      </c>
      <c r="K109" s="29">
        <v>4.8300000000000003E-2</v>
      </c>
      <c r="L109" s="29">
        <f>F109*K109</f>
        <v>0.96600000000000008</v>
      </c>
      <c r="M109" s="5"/>
      <c r="Y109" s="41">
        <f>IF(AP109="5",BI109,0)</f>
        <v>0</v>
      </c>
      <c r="AA109" s="41">
        <f>IF(AP109="1",BG109,0)</f>
        <v>0</v>
      </c>
      <c r="AB109" s="41">
        <f>IF(AP109="1",BH109,0)</f>
        <v>0</v>
      </c>
      <c r="AC109" s="41">
        <f>IF(AP109="7",BG109,0)</f>
        <v>0</v>
      </c>
      <c r="AD109" s="41">
        <f>IF(AP109="7",BH109,0)</f>
        <v>0</v>
      </c>
      <c r="AE109" s="41">
        <f>IF(AP109="2",BG109,0)</f>
        <v>0</v>
      </c>
      <c r="AF109" s="41">
        <f>IF(AP109="2",BH109,0)</f>
        <v>0</v>
      </c>
      <c r="AG109" s="41">
        <f>IF(AP109="0",BI109,0)</f>
        <v>0</v>
      </c>
      <c r="AH109" s="38"/>
      <c r="AI109" s="29">
        <f>IF(AM109=0,J109,0)</f>
        <v>0</v>
      </c>
      <c r="AJ109" s="29">
        <f>IF(AM109=15,J109,0)</f>
        <v>0</v>
      </c>
      <c r="AK109" s="29">
        <f>IF(AM109=21,J109,0)</f>
        <v>0</v>
      </c>
      <c r="AM109" s="41">
        <v>21</v>
      </c>
      <c r="AN109" s="41">
        <f>G109*1</f>
        <v>0</v>
      </c>
      <c r="AO109" s="41">
        <f>G109*(1-1)</f>
        <v>0</v>
      </c>
      <c r="AP109" s="43" t="s">
        <v>217</v>
      </c>
      <c r="AU109" s="41">
        <f>AV109+AW109</f>
        <v>0</v>
      </c>
      <c r="AV109" s="41">
        <f>F109*AN109</f>
        <v>0</v>
      </c>
      <c r="AW109" s="41">
        <f>F109*AO109</f>
        <v>0</v>
      </c>
      <c r="AX109" s="44" t="s">
        <v>229</v>
      </c>
      <c r="AY109" s="44" t="s">
        <v>234</v>
      </c>
      <c r="AZ109" s="38" t="s">
        <v>235</v>
      </c>
      <c r="BB109" s="41">
        <f>AV109+AW109</f>
        <v>0</v>
      </c>
      <c r="BC109" s="41">
        <f>G109/(100-BD109)*100</f>
        <v>0</v>
      </c>
      <c r="BD109" s="41">
        <v>0</v>
      </c>
      <c r="BE109" s="41">
        <f>L109</f>
        <v>0.96600000000000008</v>
      </c>
      <c r="BG109" s="29">
        <f>F109*AN109</f>
        <v>0</v>
      </c>
      <c r="BH109" s="29">
        <f>F109*AO109</f>
        <v>0</v>
      </c>
      <c r="BI109" s="29">
        <f>F109*G109</f>
        <v>0</v>
      </c>
      <c r="BJ109" s="29" t="s">
        <v>241</v>
      </c>
      <c r="BK109" s="41"/>
    </row>
    <row r="110" spans="1:63" x14ac:dyDescent="0.25">
      <c r="A110" s="5"/>
      <c r="D110" s="21" t="s">
        <v>26</v>
      </c>
      <c r="F110" s="28">
        <v>20</v>
      </c>
      <c r="M110" s="5"/>
    </row>
    <row r="111" spans="1:63" x14ac:dyDescent="0.25">
      <c r="A111" s="5"/>
      <c r="D111" s="21" t="s">
        <v>172</v>
      </c>
      <c r="F111" s="28">
        <v>0.21</v>
      </c>
      <c r="M111" s="5"/>
    </row>
    <row r="112" spans="1:63" x14ac:dyDescent="0.25">
      <c r="A112" s="7" t="s">
        <v>45</v>
      </c>
      <c r="B112" s="16"/>
      <c r="C112" s="16" t="s">
        <v>93</v>
      </c>
      <c r="D112" s="16" t="s">
        <v>173</v>
      </c>
      <c r="E112" s="16" t="s">
        <v>189</v>
      </c>
      <c r="F112" s="29">
        <v>2</v>
      </c>
      <c r="G112" s="146"/>
      <c r="H112" s="29">
        <f>F112*AN112</f>
        <v>0</v>
      </c>
      <c r="I112" s="29">
        <f>F112*AO112</f>
        <v>0</v>
      </c>
      <c r="J112" s="29">
        <f>F112*G112</f>
        <v>0</v>
      </c>
      <c r="K112" s="29">
        <v>6.7000000000000004E-2</v>
      </c>
      <c r="L112" s="29">
        <f>F112*K112</f>
        <v>0.13400000000000001</v>
      </c>
      <c r="M112" s="5"/>
      <c r="Y112" s="41">
        <f>IF(AP112="5",BI112,0)</f>
        <v>0</v>
      </c>
      <c r="AA112" s="41">
        <f>IF(AP112="1",BG112,0)</f>
        <v>0</v>
      </c>
      <c r="AB112" s="41">
        <f>IF(AP112="1",BH112,0)</f>
        <v>0</v>
      </c>
      <c r="AC112" s="41">
        <f>IF(AP112="7",BG112,0)</f>
        <v>0</v>
      </c>
      <c r="AD112" s="41">
        <f>IF(AP112="7",BH112,0)</f>
        <v>0</v>
      </c>
      <c r="AE112" s="41">
        <f>IF(AP112="2",BG112,0)</f>
        <v>0</v>
      </c>
      <c r="AF112" s="41">
        <f>IF(AP112="2",BH112,0)</f>
        <v>0</v>
      </c>
      <c r="AG112" s="41">
        <f>IF(AP112="0",BI112,0)</f>
        <v>0</v>
      </c>
      <c r="AH112" s="38"/>
      <c r="AI112" s="29">
        <f>IF(AM112=0,J112,0)</f>
        <v>0</v>
      </c>
      <c r="AJ112" s="29">
        <f>IF(AM112=15,J112,0)</f>
        <v>0</v>
      </c>
      <c r="AK112" s="29">
        <f>IF(AM112=21,J112,0)</f>
        <v>0</v>
      </c>
      <c r="AM112" s="41">
        <v>21</v>
      </c>
      <c r="AN112" s="41">
        <f>G112*1</f>
        <v>0</v>
      </c>
      <c r="AO112" s="41">
        <f>G112*(1-1)</f>
        <v>0</v>
      </c>
      <c r="AP112" s="43" t="s">
        <v>217</v>
      </c>
      <c r="AU112" s="41">
        <f>AV112+AW112</f>
        <v>0</v>
      </c>
      <c r="AV112" s="41">
        <f>F112*AN112</f>
        <v>0</v>
      </c>
      <c r="AW112" s="41">
        <f>F112*AO112</f>
        <v>0</v>
      </c>
      <c r="AX112" s="44" t="s">
        <v>229</v>
      </c>
      <c r="AY112" s="44" t="s">
        <v>234</v>
      </c>
      <c r="AZ112" s="38" t="s">
        <v>235</v>
      </c>
      <c r="BB112" s="41">
        <f>AV112+AW112</f>
        <v>0</v>
      </c>
      <c r="BC112" s="41">
        <f>G112/(100-BD112)*100</f>
        <v>0</v>
      </c>
      <c r="BD112" s="41">
        <v>0</v>
      </c>
      <c r="BE112" s="41">
        <f>L112</f>
        <v>0.13400000000000001</v>
      </c>
      <c r="BG112" s="29">
        <f>F112*AN112</f>
        <v>0</v>
      </c>
      <c r="BH112" s="29">
        <f>F112*AO112</f>
        <v>0</v>
      </c>
      <c r="BI112" s="29">
        <f>F112*G112</f>
        <v>0</v>
      </c>
      <c r="BJ112" s="29" t="s">
        <v>241</v>
      </c>
      <c r="BK112" s="41"/>
    </row>
    <row r="113" spans="1:63" x14ac:dyDescent="0.25">
      <c r="A113" s="5"/>
      <c r="D113" s="21" t="s">
        <v>174</v>
      </c>
      <c r="F113" s="28">
        <v>2</v>
      </c>
      <c r="M113" s="5"/>
    </row>
    <row r="114" spans="1:63" x14ac:dyDescent="0.25">
      <c r="A114" s="5"/>
      <c r="D114" s="21" t="s">
        <v>175</v>
      </c>
      <c r="F114" s="28">
        <v>0.06</v>
      </c>
      <c r="M114" s="5"/>
    </row>
    <row r="115" spans="1:63" x14ac:dyDescent="0.25">
      <c r="A115" s="7" t="s">
        <v>46</v>
      </c>
      <c r="B115" s="16"/>
      <c r="C115" s="16" t="s">
        <v>94</v>
      </c>
      <c r="D115" s="16" t="s">
        <v>176</v>
      </c>
      <c r="E115" s="16" t="s">
        <v>189</v>
      </c>
      <c r="F115" s="29">
        <v>1</v>
      </c>
      <c r="G115" s="146"/>
      <c r="H115" s="29">
        <f>F115*AN115</f>
        <v>0</v>
      </c>
      <c r="I115" s="29">
        <f>F115*AO115</f>
        <v>0</v>
      </c>
      <c r="J115" s="29">
        <f>F115*G115</f>
        <v>0</v>
      </c>
      <c r="K115" s="29">
        <v>6.7000000000000004E-2</v>
      </c>
      <c r="L115" s="29">
        <f>F115*K115</f>
        <v>6.7000000000000004E-2</v>
      </c>
      <c r="M115" s="5"/>
      <c r="Y115" s="41">
        <f>IF(AP115="5",BI115,0)</f>
        <v>0</v>
      </c>
      <c r="AA115" s="41">
        <f>IF(AP115="1",BG115,0)</f>
        <v>0</v>
      </c>
      <c r="AB115" s="41">
        <f>IF(AP115="1",BH115,0)</f>
        <v>0</v>
      </c>
      <c r="AC115" s="41">
        <f>IF(AP115="7",BG115,0)</f>
        <v>0</v>
      </c>
      <c r="AD115" s="41">
        <f>IF(AP115="7",BH115,0)</f>
        <v>0</v>
      </c>
      <c r="AE115" s="41">
        <f>IF(AP115="2",BG115,0)</f>
        <v>0</v>
      </c>
      <c r="AF115" s="41">
        <f>IF(AP115="2",BH115,0)</f>
        <v>0</v>
      </c>
      <c r="AG115" s="41">
        <f>IF(AP115="0",BI115,0)</f>
        <v>0</v>
      </c>
      <c r="AH115" s="38"/>
      <c r="AI115" s="29">
        <f>IF(AM115=0,J115,0)</f>
        <v>0</v>
      </c>
      <c r="AJ115" s="29">
        <f>IF(AM115=15,J115,0)</f>
        <v>0</v>
      </c>
      <c r="AK115" s="29">
        <f>IF(AM115=21,J115,0)</f>
        <v>0</v>
      </c>
      <c r="AM115" s="41">
        <v>21</v>
      </c>
      <c r="AN115" s="41">
        <f>G115*1</f>
        <v>0</v>
      </c>
      <c r="AO115" s="41">
        <f>G115*(1-1)</f>
        <v>0</v>
      </c>
      <c r="AP115" s="43" t="s">
        <v>217</v>
      </c>
      <c r="AU115" s="41">
        <f>AV115+AW115</f>
        <v>0</v>
      </c>
      <c r="AV115" s="41">
        <f>F115*AN115</f>
        <v>0</v>
      </c>
      <c r="AW115" s="41">
        <f>F115*AO115</f>
        <v>0</v>
      </c>
      <c r="AX115" s="44" t="s">
        <v>229</v>
      </c>
      <c r="AY115" s="44" t="s">
        <v>234</v>
      </c>
      <c r="AZ115" s="38" t="s">
        <v>235</v>
      </c>
      <c r="BB115" s="41">
        <f>AV115+AW115</f>
        <v>0</v>
      </c>
      <c r="BC115" s="41">
        <f>G115/(100-BD115)*100</f>
        <v>0</v>
      </c>
      <c r="BD115" s="41">
        <v>0</v>
      </c>
      <c r="BE115" s="41">
        <f>L115</f>
        <v>6.7000000000000004E-2</v>
      </c>
      <c r="BG115" s="29">
        <f>F115*AN115</f>
        <v>0</v>
      </c>
      <c r="BH115" s="29">
        <f>F115*AO115</f>
        <v>0</v>
      </c>
      <c r="BI115" s="29">
        <f>F115*G115</f>
        <v>0</v>
      </c>
      <c r="BJ115" s="29" t="s">
        <v>241</v>
      </c>
      <c r="BK115" s="41"/>
    </row>
    <row r="116" spans="1:63" x14ac:dyDescent="0.25">
      <c r="A116" s="5"/>
      <c r="D116" s="21" t="s">
        <v>177</v>
      </c>
      <c r="F116" s="28">
        <v>1</v>
      </c>
      <c r="M116" s="5"/>
    </row>
    <row r="117" spans="1:63" x14ac:dyDescent="0.25">
      <c r="A117" s="5"/>
      <c r="D117" s="21" t="s">
        <v>178</v>
      </c>
      <c r="F117" s="28">
        <v>0.04</v>
      </c>
      <c r="M117" s="5"/>
    </row>
    <row r="118" spans="1:63" x14ac:dyDescent="0.25">
      <c r="A118" s="7" t="s">
        <v>47</v>
      </c>
      <c r="B118" s="16"/>
      <c r="C118" s="16" t="s">
        <v>95</v>
      </c>
      <c r="D118" s="16" t="s">
        <v>179</v>
      </c>
      <c r="E118" s="16" t="s">
        <v>187</v>
      </c>
      <c r="F118" s="29">
        <v>8</v>
      </c>
      <c r="G118" s="146"/>
      <c r="H118" s="29">
        <f>F118*AN118</f>
        <v>0</v>
      </c>
      <c r="I118" s="29">
        <f>F118*AO118</f>
        <v>0</v>
      </c>
      <c r="J118" s="29">
        <f>F118*G118</f>
        <v>0</v>
      </c>
      <c r="K118" s="29">
        <v>0.17599999999999999</v>
      </c>
      <c r="L118" s="29">
        <f>F118*K118</f>
        <v>1.4079999999999999</v>
      </c>
      <c r="M118" s="5"/>
      <c r="Y118" s="41">
        <f>IF(AP118="5",BI118,0)</f>
        <v>0</v>
      </c>
      <c r="AA118" s="41">
        <f>IF(AP118="1",BG118,0)</f>
        <v>0</v>
      </c>
      <c r="AB118" s="41">
        <f>IF(AP118="1",BH118,0)</f>
        <v>0</v>
      </c>
      <c r="AC118" s="41">
        <f>IF(AP118="7",BG118,0)</f>
        <v>0</v>
      </c>
      <c r="AD118" s="41">
        <f>IF(AP118="7",BH118,0)</f>
        <v>0</v>
      </c>
      <c r="AE118" s="41">
        <f>IF(AP118="2",BG118,0)</f>
        <v>0</v>
      </c>
      <c r="AF118" s="41">
        <f>IF(AP118="2",BH118,0)</f>
        <v>0</v>
      </c>
      <c r="AG118" s="41">
        <f>IF(AP118="0",BI118,0)</f>
        <v>0</v>
      </c>
      <c r="AH118" s="38"/>
      <c r="AI118" s="29">
        <f>IF(AM118=0,J118,0)</f>
        <v>0</v>
      </c>
      <c r="AJ118" s="29">
        <f>IF(AM118=15,J118,0)</f>
        <v>0</v>
      </c>
      <c r="AK118" s="29">
        <f>IF(AM118=21,J118,0)</f>
        <v>0</v>
      </c>
      <c r="AM118" s="41">
        <v>21</v>
      </c>
      <c r="AN118" s="41">
        <f>G118*1</f>
        <v>0</v>
      </c>
      <c r="AO118" s="41">
        <f>G118*(1-1)</f>
        <v>0</v>
      </c>
      <c r="AP118" s="43" t="s">
        <v>217</v>
      </c>
      <c r="AU118" s="41">
        <f>AV118+AW118</f>
        <v>0</v>
      </c>
      <c r="AV118" s="41">
        <f>F118*AN118</f>
        <v>0</v>
      </c>
      <c r="AW118" s="41">
        <f>F118*AO118</f>
        <v>0</v>
      </c>
      <c r="AX118" s="44" t="s">
        <v>229</v>
      </c>
      <c r="AY118" s="44" t="s">
        <v>234</v>
      </c>
      <c r="AZ118" s="38" t="s">
        <v>235</v>
      </c>
      <c r="BB118" s="41">
        <f>AV118+AW118</f>
        <v>0</v>
      </c>
      <c r="BC118" s="41">
        <f>G118/(100-BD118)*100</f>
        <v>0</v>
      </c>
      <c r="BD118" s="41">
        <v>0</v>
      </c>
      <c r="BE118" s="41">
        <f>L118</f>
        <v>1.4079999999999999</v>
      </c>
      <c r="BG118" s="29">
        <f>F118*AN118</f>
        <v>0</v>
      </c>
      <c r="BH118" s="29">
        <f>F118*AO118</f>
        <v>0</v>
      </c>
      <c r="BI118" s="29">
        <f>F118*G118</f>
        <v>0</v>
      </c>
      <c r="BJ118" s="29" t="s">
        <v>241</v>
      </c>
      <c r="BK118" s="41"/>
    </row>
    <row r="119" spans="1:63" x14ac:dyDescent="0.25">
      <c r="A119" s="5"/>
      <c r="D119" s="21" t="s">
        <v>14</v>
      </c>
      <c r="F119" s="28">
        <v>8</v>
      </c>
      <c r="M119" s="5"/>
    </row>
    <row r="120" spans="1:63" x14ac:dyDescent="0.25">
      <c r="A120" s="8"/>
      <c r="B120" s="17"/>
      <c r="C120" s="17"/>
      <c r="D120" s="22" t="s">
        <v>180</v>
      </c>
      <c r="E120" s="17"/>
      <c r="F120" s="30">
        <v>0.21</v>
      </c>
      <c r="G120" s="17"/>
      <c r="H120" s="17"/>
      <c r="I120" s="17"/>
      <c r="J120" s="17"/>
      <c r="K120" s="17"/>
      <c r="L120" s="17"/>
      <c r="M120" s="5"/>
    </row>
    <row r="121" spans="1:63" x14ac:dyDescent="0.25">
      <c r="A121" s="9"/>
      <c r="B121" s="9"/>
      <c r="C121" s="9"/>
      <c r="D121" s="9"/>
      <c r="E121" s="9"/>
      <c r="F121" s="9"/>
      <c r="G121" s="9"/>
      <c r="H121" s="111" t="s">
        <v>200</v>
      </c>
      <c r="I121" s="112"/>
      <c r="J121" s="48">
        <f>ROUND(J12+J31+J46+J49+J59+J68+J72+J86+J92+J94+J97+J105,0)</f>
        <v>0</v>
      </c>
      <c r="K121" s="9"/>
      <c r="L121" s="9"/>
    </row>
    <row r="122" spans="1:63" ht="11.25" customHeight="1" x14ac:dyDescent="0.25">
      <c r="A122" s="10" t="s">
        <v>49</v>
      </c>
    </row>
    <row r="123" spans="1:63" x14ac:dyDescent="0.25">
      <c r="A123" s="101" t="s">
        <v>50</v>
      </c>
      <c r="B123" s="90"/>
      <c r="C123" s="90"/>
      <c r="D123" s="90"/>
      <c r="E123" s="90"/>
      <c r="F123" s="90"/>
      <c r="G123" s="90"/>
      <c r="H123" s="90"/>
      <c r="I123" s="90"/>
      <c r="J123" s="90"/>
      <c r="K123" s="90"/>
      <c r="L123" s="90"/>
    </row>
  </sheetData>
  <sheetProtection algorithmName="SHA-512" hashValue="ZFNfZxwx1GGlGOEzD6T/3XyGnW7Fc7M5v6xEB6YjqfcL42TtATA2j2Dwb69LXXqU9CadYmN2NGSMOO5oFJgy1g==" saltValue="0N+tXZiZvD48pE+vX5VYqw==" spinCount="100000" sheet="1" objects="1" scenarios="1"/>
  <mergeCells count="54">
    <mergeCell ref="D104:L104"/>
    <mergeCell ref="H121:I121"/>
    <mergeCell ref="A123:L123"/>
    <mergeCell ref="D81:L81"/>
    <mergeCell ref="D85:L85"/>
    <mergeCell ref="D89:L89"/>
    <mergeCell ref="D91:L91"/>
    <mergeCell ref="D102:L102"/>
    <mergeCell ref="D79:L79"/>
    <mergeCell ref="D37:L37"/>
    <mergeCell ref="D44:L44"/>
    <mergeCell ref="D51:L51"/>
    <mergeCell ref="D54:L54"/>
    <mergeCell ref="D57:L57"/>
    <mergeCell ref="D64:L64"/>
    <mergeCell ref="D66:L66"/>
    <mergeCell ref="D74:L74"/>
    <mergeCell ref="D33:L33"/>
    <mergeCell ref="H10:J10"/>
    <mergeCell ref="K10:L10"/>
    <mergeCell ref="D14:L14"/>
    <mergeCell ref="D16:L16"/>
    <mergeCell ref="D18:L18"/>
    <mergeCell ref="D20:L20"/>
    <mergeCell ref="D22:L22"/>
    <mergeCell ref="D24:L24"/>
    <mergeCell ref="D26:L26"/>
    <mergeCell ref="D28:L28"/>
    <mergeCell ref="D30:L30"/>
    <mergeCell ref="I8:L9"/>
    <mergeCell ref="A6:C7"/>
    <mergeCell ref="D6:D7"/>
    <mergeCell ref="E6:F7"/>
    <mergeCell ref="G6:G7"/>
    <mergeCell ref="H6:H7"/>
    <mergeCell ref="I6:L7"/>
    <mergeCell ref="A8:C9"/>
    <mergeCell ref="D8:D9"/>
    <mergeCell ref="E8:F9"/>
    <mergeCell ref="G8:G9"/>
    <mergeCell ref="H8:H9"/>
    <mergeCell ref="I4:L5"/>
    <mergeCell ref="A1:L1"/>
    <mergeCell ref="A2:C3"/>
    <mergeCell ref="D2:D3"/>
    <mergeCell ref="E2:F3"/>
    <mergeCell ref="G2:G3"/>
    <mergeCell ref="H2:H3"/>
    <mergeCell ref="I2:L3"/>
    <mergeCell ref="A4:C5"/>
    <mergeCell ref="D4:D5"/>
    <mergeCell ref="E4:F5"/>
    <mergeCell ref="G4:G5"/>
    <mergeCell ref="H4:H5"/>
  </mergeCells>
  <pageMargins left="0.39400000000000002" right="0.39400000000000002" top="0.59099999999999997" bottom="0.59099999999999997" header="0.5" footer="0.5"/>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pane ySplit="10" topLeftCell="A11" activePane="bottomLeft" state="frozenSplit"/>
      <selection pane="bottomLeft" sqref="A1:G1"/>
    </sheetView>
  </sheetViews>
  <sheetFormatPr defaultColWidth="11.5546875" defaultRowHeight="13.2" x14ac:dyDescent="0.25"/>
  <cols>
    <col min="1" max="2" width="16.5546875" customWidth="1"/>
    <col min="3" max="3" width="41.6640625" customWidth="1"/>
    <col min="4" max="4" width="22.109375" customWidth="1"/>
    <col min="5" max="5" width="21" customWidth="1"/>
    <col min="6" max="6" width="20.88671875" customWidth="1"/>
    <col min="7" max="7" width="19.6640625" customWidth="1"/>
    <col min="8" max="9" width="0" hidden="1" customWidth="1"/>
  </cols>
  <sheetData>
    <row r="1" spans="1:9" ht="72.900000000000006" customHeight="1" x14ac:dyDescent="0.4">
      <c r="A1" s="91" t="s">
        <v>243</v>
      </c>
      <c r="B1" s="92"/>
      <c r="C1" s="92"/>
      <c r="D1" s="92"/>
      <c r="E1" s="92"/>
      <c r="F1" s="92"/>
      <c r="G1" s="92"/>
    </row>
    <row r="2" spans="1:9" x14ac:dyDescent="0.25">
      <c r="A2" s="93" t="s">
        <v>1</v>
      </c>
      <c r="B2" s="96" t="str">
        <f>'Stavební rozpočet'!D2</f>
        <v>Rekonstrukce chodníku ul. Zimní a Jarní, Jihlava</v>
      </c>
      <c r="C2" s="112"/>
      <c r="D2" s="99" t="s">
        <v>194</v>
      </c>
      <c r="E2" s="99" t="str">
        <f>'Stavební rozpočet'!I2</f>
        <v>Statutární město Jihlava</v>
      </c>
      <c r="F2" s="94"/>
      <c r="G2" s="114"/>
      <c r="H2" s="5"/>
    </row>
    <row r="3" spans="1:9" x14ac:dyDescent="0.25">
      <c r="A3" s="95"/>
      <c r="B3" s="97"/>
      <c r="C3" s="97"/>
      <c r="D3" s="90"/>
      <c r="E3" s="90"/>
      <c r="F3" s="90"/>
      <c r="G3" s="113"/>
      <c r="H3" s="5"/>
    </row>
    <row r="4" spans="1:9" x14ac:dyDescent="0.25">
      <c r="A4" s="100" t="s">
        <v>2</v>
      </c>
      <c r="B4" s="101" t="str">
        <f>'Stavební rozpočet'!D4</f>
        <v xml:space="preserve">SO 101 Chodník před BD Jarní 1 - 5, SO 102 Chodník před BD Jarní 7 - 15  
</v>
      </c>
      <c r="C4" s="90"/>
      <c r="D4" s="101" t="s">
        <v>195</v>
      </c>
      <c r="E4" s="101" t="str">
        <f>'Stavební rozpočet'!I4</f>
        <v> </v>
      </c>
      <c r="F4" s="90"/>
      <c r="G4" s="113"/>
      <c r="H4" s="5"/>
    </row>
    <row r="5" spans="1:9" x14ac:dyDescent="0.25">
      <c r="A5" s="95"/>
      <c r="B5" s="90"/>
      <c r="C5" s="90"/>
      <c r="D5" s="90"/>
      <c r="E5" s="90"/>
      <c r="F5" s="90"/>
      <c r="G5" s="113"/>
      <c r="H5" s="5"/>
    </row>
    <row r="6" spans="1:9" x14ac:dyDescent="0.25">
      <c r="A6" s="100" t="s">
        <v>3</v>
      </c>
      <c r="B6" s="101" t="str">
        <f>'Stavební rozpočet'!D6</f>
        <v>Jihlava</v>
      </c>
      <c r="C6" s="90"/>
      <c r="D6" s="101" t="s">
        <v>196</v>
      </c>
      <c r="E6" s="101" t="str">
        <f>'Stavební rozpočet'!I6</f>
        <v>dle výběrového řízení</v>
      </c>
      <c r="F6" s="90"/>
      <c r="G6" s="113"/>
      <c r="H6" s="5"/>
    </row>
    <row r="7" spans="1:9" x14ac:dyDescent="0.25">
      <c r="A7" s="95"/>
      <c r="B7" s="90"/>
      <c r="C7" s="90"/>
      <c r="D7" s="90"/>
      <c r="E7" s="90"/>
      <c r="F7" s="90"/>
      <c r="G7" s="113"/>
      <c r="H7" s="5"/>
    </row>
    <row r="8" spans="1:9" x14ac:dyDescent="0.25">
      <c r="A8" s="100" t="s">
        <v>197</v>
      </c>
      <c r="B8" s="101" t="str">
        <f>'Stavební rozpočet'!I8</f>
        <v>Ing. Karel Trojan</v>
      </c>
      <c r="C8" s="90"/>
      <c r="D8" s="1" t="s">
        <v>184</v>
      </c>
      <c r="E8" s="101" t="str">
        <f>'Stavební rozpočet'!G8</f>
        <v>29.09.2025</v>
      </c>
      <c r="F8" s="90"/>
      <c r="G8" s="113"/>
      <c r="H8" s="5"/>
    </row>
    <row r="9" spans="1:9" x14ac:dyDescent="0.25">
      <c r="A9" s="103"/>
      <c r="B9" s="102"/>
      <c r="C9" s="102"/>
      <c r="D9" s="102"/>
      <c r="E9" s="102"/>
      <c r="F9" s="102"/>
      <c r="G9" s="115"/>
      <c r="H9" s="5"/>
    </row>
    <row r="10" spans="1:9" x14ac:dyDescent="0.25">
      <c r="A10" s="49" t="s">
        <v>51</v>
      </c>
      <c r="B10" s="53" t="s">
        <v>52</v>
      </c>
      <c r="C10" s="56" t="s">
        <v>244</v>
      </c>
      <c r="D10" s="57" t="s">
        <v>245</v>
      </c>
      <c r="E10" s="57" t="s">
        <v>246</v>
      </c>
      <c r="F10" s="57" t="s">
        <v>247</v>
      </c>
      <c r="G10" s="58" t="s">
        <v>248</v>
      </c>
      <c r="H10" s="40"/>
    </row>
    <row r="11" spans="1:9" x14ac:dyDescent="0.25">
      <c r="A11" s="50"/>
      <c r="B11" s="54" t="s">
        <v>53</v>
      </c>
      <c r="C11" s="54" t="s">
        <v>100</v>
      </c>
      <c r="D11" s="60">
        <f>'Stavební rozpočet'!H12</f>
        <v>0</v>
      </c>
      <c r="E11" s="60">
        <f>'Stavební rozpočet'!I12</f>
        <v>0</v>
      </c>
      <c r="F11" s="60">
        <f>'Stavební rozpočet'!J12</f>
        <v>0</v>
      </c>
      <c r="G11" s="62">
        <f>'Stavební rozpočet'!L12</f>
        <v>0</v>
      </c>
      <c r="H11" s="59" t="s">
        <v>249</v>
      </c>
      <c r="I11" s="41">
        <f t="shared" ref="I11:I22" si="0">IF(H11="F",0,F11)</f>
        <v>0</v>
      </c>
    </row>
    <row r="12" spans="1:9" x14ac:dyDescent="0.25">
      <c r="A12" s="51"/>
      <c r="B12" s="23" t="s">
        <v>17</v>
      </c>
      <c r="C12" s="23" t="s">
        <v>119</v>
      </c>
      <c r="D12" s="41">
        <f>'Stavební rozpočet'!H31</f>
        <v>0</v>
      </c>
      <c r="E12" s="41">
        <f>'Stavební rozpočet'!I31</f>
        <v>0</v>
      </c>
      <c r="F12" s="41">
        <f>'Stavební rozpočet'!J31</f>
        <v>0</v>
      </c>
      <c r="G12" s="63">
        <f>'Stavební rozpočet'!L31</f>
        <v>71.293000000000006</v>
      </c>
      <c r="H12" s="59" t="s">
        <v>249</v>
      </c>
      <c r="I12" s="41">
        <f t="shared" si="0"/>
        <v>0</v>
      </c>
    </row>
    <row r="13" spans="1:9" x14ac:dyDescent="0.25">
      <c r="A13" s="51"/>
      <c r="B13" s="23" t="s">
        <v>24</v>
      </c>
      <c r="C13" s="23" t="s">
        <v>127</v>
      </c>
      <c r="D13" s="41">
        <f>'Stavební rozpočet'!H46</f>
        <v>0</v>
      </c>
      <c r="E13" s="41">
        <f>'Stavební rozpočet'!I46</f>
        <v>0</v>
      </c>
      <c r="F13" s="41">
        <f>'Stavební rozpočet'!J46</f>
        <v>0</v>
      </c>
      <c r="G13" s="63">
        <f>'Stavební rozpočet'!L46</f>
        <v>0</v>
      </c>
      <c r="H13" s="59" t="s">
        <v>249</v>
      </c>
      <c r="I13" s="41">
        <f t="shared" si="0"/>
        <v>0</v>
      </c>
    </row>
    <row r="14" spans="1:9" x14ac:dyDescent="0.25">
      <c r="A14" s="51"/>
      <c r="B14" s="23" t="s">
        <v>63</v>
      </c>
      <c r="C14" s="23" t="s">
        <v>129</v>
      </c>
      <c r="D14" s="41">
        <f>'Stavební rozpočet'!H49</f>
        <v>0</v>
      </c>
      <c r="E14" s="41">
        <f>'Stavební rozpočet'!I49</f>
        <v>0</v>
      </c>
      <c r="F14" s="41">
        <f>'Stavební rozpočet'!J49</f>
        <v>0</v>
      </c>
      <c r="G14" s="63">
        <f>'Stavební rozpočet'!L49</f>
        <v>31.574400000000001</v>
      </c>
      <c r="H14" s="59" t="s">
        <v>249</v>
      </c>
      <c r="I14" s="41">
        <f t="shared" si="0"/>
        <v>0</v>
      </c>
    </row>
    <row r="15" spans="1:9" x14ac:dyDescent="0.25">
      <c r="A15" s="51"/>
      <c r="B15" s="23" t="s">
        <v>67</v>
      </c>
      <c r="C15" s="23" t="s">
        <v>136</v>
      </c>
      <c r="D15" s="41">
        <f>'Stavební rozpočet'!H59</f>
        <v>0</v>
      </c>
      <c r="E15" s="41">
        <f>'Stavební rozpočet'!I59</f>
        <v>0</v>
      </c>
      <c r="F15" s="41">
        <f>'Stavební rozpočet'!J59</f>
        <v>0</v>
      </c>
      <c r="G15" s="63">
        <f>'Stavební rozpočet'!L59</f>
        <v>96.693640000000016</v>
      </c>
      <c r="H15" s="59" t="s">
        <v>249</v>
      </c>
      <c r="I15" s="41">
        <f t="shared" si="0"/>
        <v>0</v>
      </c>
    </row>
    <row r="16" spans="1:9" x14ac:dyDescent="0.25">
      <c r="A16" s="51"/>
      <c r="B16" s="23" t="s">
        <v>71</v>
      </c>
      <c r="C16" s="23" t="s">
        <v>142</v>
      </c>
      <c r="D16" s="41">
        <f>'Stavební rozpočet'!H68</f>
        <v>0</v>
      </c>
      <c r="E16" s="41">
        <f>'Stavební rozpočet'!I68</f>
        <v>0</v>
      </c>
      <c r="F16" s="41">
        <f>'Stavební rozpočet'!J68</f>
        <v>0</v>
      </c>
      <c r="G16" s="63">
        <f>'Stavební rozpočet'!L68</f>
        <v>0.59284999999999999</v>
      </c>
      <c r="H16" s="59" t="s">
        <v>249</v>
      </c>
      <c r="I16" s="41">
        <f t="shared" si="0"/>
        <v>0</v>
      </c>
    </row>
    <row r="17" spans="1:9" x14ac:dyDescent="0.25">
      <c r="A17" s="51"/>
      <c r="B17" s="23" t="s">
        <v>74</v>
      </c>
      <c r="C17" s="23" t="s">
        <v>145</v>
      </c>
      <c r="D17" s="41">
        <f>'Stavební rozpočet'!H72</f>
        <v>0</v>
      </c>
      <c r="E17" s="41">
        <f>'Stavební rozpočet'!I72</f>
        <v>0</v>
      </c>
      <c r="F17" s="41">
        <f>'Stavební rozpočet'!J72</f>
        <v>0</v>
      </c>
      <c r="G17" s="63">
        <f>'Stavební rozpočet'!L72</f>
        <v>12.987659999999998</v>
      </c>
      <c r="H17" s="59" t="s">
        <v>249</v>
      </c>
      <c r="I17" s="41">
        <f t="shared" si="0"/>
        <v>0</v>
      </c>
    </row>
    <row r="18" spans="1:9" x14ac:dyDescent="0.25">
      <c r="A18" s="51"/>
      <c r="B18" s="23" t="s">
        <v>80</v>
      </c>
      <c r="C18" s="23" t="s">
        <v>154</v>
      </c>
      <c r="D18" s="41">
        <f>'Stavební rozpočet'!H86</f>
        <v>0</v>
      </c>
      <c r="E18" s="41">
        <f>'Stavební rozpočet'!I86</f>
        <v>0</v>
      </c>
      <c r="F18" s="41">
        <f>'Stavební rozpočet'!J86</f>
        <v>0</v>
      </c>
      <c r="G18" s="63">
        <f>'Stavební rozpočet'!L86</f>
        <v>3.7800000000000002</v>
      </c>
      <c r="H18" s="59" t="s">
        <v>249</v>
      </c>
      <c r="I18" s="41">
        <f t="shared" si="0"/>
        <v>0</v>
      </c>
    </row>
    <row r="19" spans="1:9" x14ac:dyDescent="0.25">
      <c r="A19" s="51"/>
      <c r="B19" s="23" t="s">
        <v>83</v>
      </c>
      <c r="C19" s="23" t="s">
        <v>159</v>
      </c>
      <c r="D19" s="41">
        <f>'Stavební rozpočet'!H92</f>
        <v>0</v>
      </c>
      <c r="E19" s="41">
        <f>'Stavební rozpočet'!I92</f>
        <v>0</v>
      </c>
      <c r="F19" s="41">
        <f>'Stavební rozpočet'!J92</f>
        <v>0</v>
      </c>
      <c r="G19" s="63">
        <f>'Stavební rozpočet'!L92</f>
        <v>0</v>
      </c>
      <c r="H19" s="59" t="s">
        <v>249</v>
      </c>
      <c r="I19" s="41">
        <f t="shared" si="0"/>
        <v>0</v>
      </c>
    </row>
    <row r="20" spans="1:9" x14ac:dyDescent="0.25">
      <c r="A20" s="51"/>
      <c r="B20" s="23" t="s">
        <v>85</v>
      </c>
      <c r="C20" s="23" t="s">
        <v>161</v>
      </c>
      <c r="D20" s="41">
        <f>'Stavební rozpočet'!H94</f>
        <v>0</v>
      </c>
      <c r="E20" s="41">
        <f>'Stavební rozpočet'!I94</f>
        <v>0</v>
      </c>
      <c r="F20" s="41">
        <f>'Stavební rozpočet'!J94</f>
        <v>0</v>
      </c>
      <c r="G20" s="63">
        <f>'Stavební rozpočet'!L94</f>
        <v>0</v>
      </c>
      <c r="H20" s="59" t="s">
        <v>249</v>
      </c>
      <c r="I20" s="41">
        <f t="shared" si="0"/>
        <v>0</v>
      </c>
    </row>
    <row r="21" spans="1:9" x14ac:dyDescent="0.25">
      <c r="A21" s="51"/>
      <c r="B21" s="23" t="s">
        <v>87</v>
      </c>
      <c r="C21" s="23" t="s">
        <v>163</v>
      </c>
      <c r="D21" s="41">
        <f>'Stavební rozpočet'!H97</f>
        <v>0</v>
      </c>
      <c r="E21" s="41">
        <f>'Stavební rozpočet'!I97</f>
        <v>0</v>
      </c>
      <c r="F21" s="41">
        <f>'Stavební rozpočet'!J97</f>
        <v>0</v>
      </c>
      <c r="G21" s="63">
        <f>'Stavební rozpočet'!L97</f>
        <v>0</v>
      </c>
      <c r="H21" s="59" t="s">
        <v>249</v>
      </c>
      <c r="I21" s="41">
        <f t="shared" si="0"/>
        <v>0</v>
      </c>
    </row>
    <row r="22" spans="1:9" x14ac:dyDescent="0.25">
      <c r="A22" s="52"/>
      <c r="B22" s="55"/>
      <c r="C22" s="55" t="s">
        <v>169</v>
      </c>
      <c r="D22" s="61">
        <f>'Stavební rozpočet'!H105</f>
        <v>0</v>
      </c>
      <c r="E22" s="61">
        <f>'Stavební rozpočet'!I105</f>
        <v>0</v>
      </c>
      <c r="F22" s="61">
        <f>'Stavební rozpočet'!J105</f>
        <v>0</v>
      </c>
      <c r="G22" s="64">
        <f>'Stavební rozpočet'!L105</f>
        <v>3.6423000000000001</v>
      </c>
      <c r="H22" s="59" t="s">
        <v>249</v>
      </c>
      <c r="I22" s="41">
        <f t="shared" si="0"/>
        <v>0</v>
      </c>
    </row>
    <row r="23" spans="1:9" x14ac:dyDescent="0.25">
      <c r="A23" s="9"/>
      <c r="B23" s="9"/>
      <c r="C23" s="9"/>
      <c r="D23" s="9"/>
      <c r="E23" s="34" t="s">
        <v>200</v>
      </c>
      <c r="F23" s="48">
        <f>ROUND(SUM(I11:I22),0)</f>
        <v>0</v>
      </c>
      <c r="G23" s="9"/>
    </row>
  </sheetData>
  <sheetProtection algorithmName="SHA-512" hashValue="52QO5diCEp+tC704em0LthhXCDJoLFyMmq6e3q9Cj9zuleCpEm6HfdcVD6hIXvIpalJg3OVWROua4SiEz6sIZg==" saltValue="o3hxMPoDkko0/iot9XPg6Q==" spinCount="100000" sheet="1" objects="1" scenarios="1"/>
  <mergeCells count="17">
    <mergeCell ref="A6:A7"/>
    <mergeCell ref="B6:C7"/>
    <mergeCell ref="D6:D7"/>
    <mergeCell ref="E6:G7"/>
    <mergeCell ref="A8:A9"/>
    <mergeCell ref="B8:C9"/>
    <mergeCell ref="D8:D9"/>
    <mergeCell ref="E8:G9"/>
    <mergeCell ref="A4:A5"/>
    <mergeCell ref="B4:C5"/>
    <mergeCell ref="D4:D5"/>
    <mergeCell ref="E4:G5"/>
    <mergeCell ref="A1:G1"/>
    <mergeCell ref="A2:A3"/>
    <mergeCell ref="B2:C3"/>
    <mergeCell ref="D2:D3"/>
    <mergeCell ref="E2:G3"/>
  </mergeCells>
  <pageMargins left="0.39400000000000002" right="0.39400000000000002" top="0.59099999999999997" bottom="0.59099999999999997" header="0.5" footer="0.5"/>
  <pageSetup paperSize="0" fitToHeight="0"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topLeftCell="A16" workbookViewId="0">
      <selection activeCell="I10" sqref="I10:I11"/>
    </sheetView>
  </sheetViews>
  <sheetFormatPr defaultColWidth="11.5546875" defaultRowHeight="13.2" x14ac:dyDescent="0.25"/>
  <cols>
    <col min="1" max="1" width="9.109375" customWidth="1"/>
    <col min="2" max="2" width="12.88671875" customWidth="1"/>
    <col min="3" max="3" width="22.88671875" customWidth="1"/>
    <col min="4" max="4" width="10" customWidth="1"/>
    <col min="5" max="5" width="14" customWidth="1"/>
    <col min="6" max="6" width="22.88671875" customWidth="1"/>
    <col min="7" max="7" width="9.109375" customWidth="1"/>
    <col min="8" max="8" width="12.88671875" customWidth="1"/>
    <col min="9" max="9" width="22.88671875" customWidth="1"/>
  </cols>
  <sheetData>
    <row r="1" spans="1:10" ht="72.900000000000006" customHeight="1" x14ac:dyDescent="0.25">
      <c r="A1" s="78"/>
      <c r="B1" s="17"/>
      <c r="C1" s="116" t="s">
        <v>264</v>
      </c>
      <c r="D1" s="92"/>
      <c r="E1" s="92"/>
      <c r="F1" s="92"/>
      <c r="G1" s="92"/>
      <c r="H1" s="92"/>
      <c r="I1" s="92"/>
    </row>
    <row r="2" spans="1:10" x14ac:dyDescent="0.25">
      <c r="A2" s="93" t="s">
        <v>1</v>
      </c>
      <c r="B2" s="94"/>
      <c r="C2" s="96" t="str">
        <f>'Stavební rozpočet'!D2</f>
        <v>Rekonstrukce chodníku ul. Zimní a Jarní, Jihlava</v>
      </c>
      <c r="D2" s="112"/>
      <c r="E2" s="99" t="s">
        <v>194</v>
      </c>
      <c r="F2" s="99" t="str">
        <f>'Stavební rozpočet'!I2</f>
        <v>Statutární město Jihlava</v>
      </c>
      <c r="G2" s="94"/>
      <c r="H2" s="99" t="s">
        <v>289</v>
      </c>
      <c r="I2" s="117" t="s">
        <v>293</v>
      </c>
      <c r="J2" s="5"/>
    </row>
    <row r="3" spans="1:10" x14ac:dyDescent="0.25">
      <c r="A3" s="95"/>
      <c r="B3" s="90"/>
      <c r="C3" s="97"/>
      <c r="D3" s="97"/>
      <c r="E3" s="90"/>
      <c r="F3" s="90"/>
      <c r="G3" s="90"/>
      <c r="H3" s="90"/>
      <c r="I3" s="113"/>
      <c r="J3" s="5"/>
    </row>
    <row r="4" spans="1:10" x14ac:dyDescent="0.25">
      <c r="A4" s="100" t="s">
        <v>2</v>
      </c>
      <c r="B4" s="90"/>
      <c r="C4" s="101" t="str">
        <f>'Stavební rozpočet'!D4</f>
        <v xml:space="preserve">SO 101 Chodník před BD Jarní 1 - 5, SO 102 Chodník před BD Jarní 7 - 15  
</v>
      </c>
      <c r="D4" s="90"/>
      <c r="E4" s="101" t="s">
        <v>195</v>
      </c>
      <c r="F4" s="101" t="str">
        <f>'Stavební rozpočet'!I4</f>
        <v> </v>
      </c>
      <c r="G4" s="90"/>
      <c r="H4" s="101" t="s">
        <v>289</v>
      </c>
      <c r="I4" s="118"/>
      <c r="J4" s="5"/>
    </row>
    <row r="5" spans="1:10" x14ac:dyDescent="0.25">
      <c r="A5" s="95"/>
      <c r="B5" s="90"/>
      <c r="C5" s="90"/>
      <c r="D5" s="90"/>
      <c r="E5" s="90"/>
      <c r="F5" s="90"/>
      <c r="G5" s="90"/>
      <c r="H5" s="90"/>
      <c r="I5" s="113"/>
      <c r="J5" s="5"/>
    </row>
    <row r="6" spans="1:10" x14ac:dyDescent="0.25">
      <c r="A6" s="100" t="s">
        <v>3</v>
      </c>
      <c r="B6" s="90"/>
      <c r="C6" s="101" t="str">
        <f>'Stavební rozpočet'!D6</f>
        <v>Jihlava</v>
      </c>
      <c r="D6" s="90"/>
      <c r="E6" s="101" t="s">
        <v>196</v>
      </c>
      <c r="F6" s="101" t="str">
        <f>'Stavební rozpočet'!I6</f>
        <v>dle výběrového řízení</v>
      </c>
      <c r="G6" s="90"/>
      <c r="H6" s="101" t="s">
        <v>289</v>
      </c>
      <c r="I6" s="118"/>
      <c r="J6" s="5"/>
    </row>
    <row r="7" spans="1:10" x14ac:dyDescent="0.25">
      <c r="A7" s="95"/>
      <c r="B7" s="90"/>
      <c r="C7" s="90"/>
      <c r="D7" s="90"/>
      <c r="E7" s="90"/>
      <c r="F7" s="90"/>
      <c r="G7" s="90"/>
      <c r="H7" s="90"/>
      <c r="I7" s="113"/>
      <c r="J7" s="5"/>
    </row>
    <row r="8" spans="1:10" x14ac:dyDescent="0.25">
      <c r="A8" s="100" t="s">
        <v>182</v>
      </c>
      <c r="B8" s="90"/>
      <c r="C8" s="101" t="str">
        <f>'Stavební rozpočet'!G4</f>
        <v xml:space="preserve"> </v>
      </c>
      <c r="D8" s="90"/>
      <c r="E8" s="101" t="s">
        <v>183</v>
      </c>
      <c r="F8" s="101" t="str">
        <f>'Stavební rozpočet'!G6</f>
        <v xml:space="preserve"> </v>
      </c>
      <c r="G8" s="90"/>
      <c r="H8" s="1" t="s">
        <v>290</v>
      </c>
      <c r="I8" s="118" t="s">
        <v>47</v>
      </c>
      <c r="J8" s="5"/>
    </row>
    <row r="9" spans="1:10" x14ac:dyDescent="0.25">
      <c r="A9" s="95"/>
      <c r="B9" s="90"/>
      <c r="C9" s="90"/>
      <c r="D9" s="90"/>
      <c r="E9" s="90"/>
      <c r="F9" s="90"/>
      <c r="G9" s="90"/>
      <c r="H9" s="90"/>
      <c r="I9" s="113"/>
      <c r="J9" s="5"/>
    </row>
    <row r="10" spans="1:10" x14ac:dyDescent="0.25">
      <c r="A10" s="100" t="s">
        <v>4</v>
      </c>
      <c r="B10" s="90"/>
      <c r="C10" s="101" t="str">
        <f>'Stavební rozpočet'!D8</f>
        <v xml:space="preserve"> </v>
      </c>
      <c r="D10" s="90"/>
      <c r="E10" s="101" t="s">
        <v>197</v>
      </c>
      <c r="F10" s="101" t="str">
        <f>'Stavební rozpočet'!I8</f>
        <v>Ing. Karel Trojan</v>
      </c>
      <c r="G10" s="90"/>
      <c r="H10" s="1" t="s">
        <v>291</v>
      </c>
      <c r="I10" s="119" t="str">
        <f>'Stavební rozpočet'!G8</f>
        <v>29.09.2025</v>
      </c>
      <c r="J10" s="5"/>
    </row>
    <row r="11" spans="1:10" x14ac:dyDescent="0.25">
      <c r="A11" s="121"/>
      <c r="B11" s="122"/>
      <c r="C11" s="122"/>
      <c r="D11" s="122"/>
      <c r="E11" s="122"/>
      <c r="F11" s="122"/>
      <c r="G11" s="122"/>
      <c r="H11" s="122"/>
      <c r="I11" s="120"/>
      <c r="J11" s="5"/>
    </row>
    <row r="12" spans="1:10" ht="23.4" customHeight="1" x14ac:dyDescent="0.25">
      <c r="A12" s="123" t="s">
        <v>250</v>
      </c>
      <c r="B12" s="124"/>
      <c r="C12" s="124"/>
      <c r="D12" s="124"/>
      <c r="E12" s="124"/>
      <c r="F12" s="124"/>
      <c r="G12" s="124"/>
      <c r="H12" s="124"/>
      <c r="I12" s="124"/>
    </row>
    <row r="13" spans="1:10" ht="26.4" customHeight="1" x14ac:dyDescent="0.25">
      <c r="A13" s="65" t="s">
        <v>251</v>
      </c>
      <c r="B13" s="125" t="s">
        <v>262</v>
      </c>
      <c r="C13" s="126"/>
      <c r="D13" s="65" t="s">
        <v>265</v>
      </c>
      <c r="E13" s="125" t="s">
        <v>274</v>
      </c>
      <c r="F13" s="126"/>
      <c r="G13" s="65" t="s">
        <v>275</v>
      </c>
      <c r="H13" s="125" t="s">
        <v>292</v>
      </c>
      <c r="I13" s="126"/>
      <c r="J13" s="5"/>
    </row>
    <row r="14" spans="1:10" ht="15.15" customHeight="1" x14ac:dyDescent="0.25">
      <c r="A14" s="66" t="s">
        <v>252</v>
      </c>
      <c r="B14" s="70" t="s">
        <v>263</v>
      </c>
      <c r="C14" s="73">
        <f>SUM('Stavební rozpočet'!AA12:AA120)</f>
        <v>0</v>
      </c>
      <c r="D14" s="127" t="s">
        <v>266</v>
      </c>
      <c r="E14" s="128"/>
      <c r="F14" s="73">
        <v>0</v>
      </c>
      <c r="G14" s="127" t="s">
        <v>276</v>
      </c>
      <c r="H14" s="128"/>
      <c r="I14" s="73">
        <v>0</v>
      </c>
      <c r="J14" s="5"/>
    </row>
    <row r="15" spans="1:10" ht="15.15" customHeight="1" x14ac:dyDescent="0.25">
      <c r="A15" s="67"/>
      <c r="B15" s="70" t="s">
        <v>204</v>
      </c>
      <c r="C15" s="73">
        <f>SUM('Stavební rozpočet'!AB12:AB120)</f>
        <v>0</v>
      </c>
      <c r="D15" s="127" t="s">
        <v>267</v>
      </c>
      <c r="E15" s="128"/>
      <c r="F15" s="73">
        <v>0</v>
      </c>
      <c r="G15" s="127" t="s">
        <v>277</v>
      </c>
      <c r="H15" s="128"/>
      <c r="I15" s="73">
        <v>0</v>
      </c>
      <c r="J15" s="5"/>
    </row>
    <row r="16" spans="1:10" ht="15.15" customHeight="1" x14ac:dyDescent="0.25">
      <c r="A16" s="66" t="s">
        <v>253</v>
      </c>
      <c r="B16" s="70" t="s">
        <v>263</v>
      </c>
      <c r="C16" s="73">
        <f>SUM('Stavební rozpočet'!AC12:AC120)</f>
        <v>0</v>
      </c>
      <c r="D16" s="127" t="s">
        <v>268</v>
      </c>
      <c r="E16" s="128"/>
      <c r="F16" s="73">
        <v>0</v>
      </c>
      <c r="G16" s="127" t="s">
        <v>278</v>
      </c>
      <c r="H16" s="128"/>
      <c r="I16" s="73">
        <v>0</v>
      </c>
      <c r="J16" s="5"/>
    </row>
    <row r="17" spans="1:10" ht="15.15" customHeight="1" x14ac:dyDescent="0.25">
      <c r="A17" s="67"/>
      <c r="B17" s="70" t="s">
        <v>204</v>
      </c>
      <c r="C17" s="73">
        <f>SUM('Stavební rozpočet'!AD12:AD120)</f>
        <v>0</v>
      </c>
      <c r="D17" s="127"/>
      <c r="E17" s="128"/>
      <c r="F17" s="74"/>
      <c r="G17" s="127" t="s">
        <v>279</v>
      </c>
      <c r="H17" s="128"/>
      <c r="I17" s="73">
        <v>0</v>
      </c>
      <c r="J17" s="5"/>
    </row>
    <row r="18" spans="1:10" ht="15.15" customHeight="1" x14ac:dyDescent="0.25">
      <c r="A18" s="66" t="s">
        <v>254</v>
      </c>
      <c r="B18" s="70" t="s">
        <v>263</v>
      </c>
      <c r="C18" s="73">
        <f>SUM('Stavební rozpočet'!AE12:AE120)</f>
        <v>0</v>
      </c>
      <c r="D18" s="127"/>
      <c r="E18" s="128"/>
      <c r="F18" s="74"/>
      <c r="G18" s="127" t="s">
        <v>280</v>
      </c>
      <c r="H18" s="128"/>
      <c r="I18" s="73">
        <v>0</v>
      </c>
      <c r="J18" s="5"/>
    </row>
    <row r="19" spans="1:10" ht="15.15" customHeight="1" x14ac:dyDescent="0.25">
      <c r="A19" s="67"/>
      <c r="B19" s="70" t="s">
        <v>204</v>
      </c>
      <c r="C19" s="73">
        <f>SUM('Stavební rozpočet'!AF12:AF120)</f>
        <v>0</v>
      </c>
      <c r="D19" s="127"/>
      <c r="E19" s="128"/>
      <c r="F19" s="74"/>
      <c r="G19" s="127" t="s">
        <v>281</v>
      </c>
      <c r="H19" s="128"/>
      <c r="I19" s="73">
        <v>0</v>
      </c>
      <c r="J19" s="5"/>
    </row>
    <row r="20" spans="1:10" ht="15.15" customHeight="1" x14ac:dyDescent="0.25">
      <c r="A20" s="129" t="s">
        <v>169</v>
      </c>
      <c r="B20" s="130"/>
      <c r="C20" s="73">
        <f>SUM('Stavební rozpočet'!AG12:AG120)</f>
        <v>0</v>
      </c>
      <c r="D20" s="127"/>
      <c r="E20" s="128"/>
      <c r="F20" s="74"/>
      <c r="G20" s="127"/>
      <c r="H20" s="128"/>
      <c r="I20" s="74"/>
      <c r="J20" s="5"/>
    </row>
    <row r="21" spans="1:10" ht="15.15" customHeight="1" x14ac:dyDescent="0.25">
      <c r="A21" s="129" t="s">
        <v>255</v>
      </c>
      <c r="B21" s="130"/>
      <c r="C21" s="73">
        <f>SUM('Stavební rozpočet'!Y12:Y120)</f>
        <v>0</v>
      </c>
      <c r="D21" s="127"/>
      <c r="E21" s="128"/>
      <c r="F21" s="74"/>
      <c r="G21" s="127"/>
      <c r="H21" s="128"/>
      <c r="I21" s="74"/>
      <c r="J21" s="5"/>
    </row>
    <row r="22" spans="1:10" ht="16.649999999999999" customHeight="1" x14ac:dyDescent="0.25">
      <c r="A22" s="129" t="s">
        <v>256</v>
      </c>
      <c r="B22" s="130"/>
      <c r="C22" s="73">
        <f>ROUND(SUM(C14:C21),0)</f>
        <v>0</v>
      </c>
      <c r="D22" s="129" t="s">
        <v>269</v>
      </c>
      <c r="E22" s="130"/>
      <c r="F22" s="73">
        <f>SUM(F14:F21)</f>
        <v>0</v>
      </c>
      <c r="G22" s="129" t="s">
        <v>282</v>
      </c>
      <c r="H22" s="130"/>
      <c r="I22" s="73">
        <f>SUM(I14:I21)</f>
        <v>0</v>
      </c>
      <c r="J22" s="5"/>
    </row>
    <row r="23" spans="1:10" ht="15.15" customHeight="1" x14ac:dyDescent="0.25">
      <c r="A23" s="9"/>
      <c r="B23" s="9"/>
      <c r="C23" s="72"/>
      <c r="D23" s="129" t="s">
        <v>270</v>
      </c>
      <c r="E23" s="130"/>
      <c r="F23" s="75">
        <v>0</v>
      </c>
      <c r="G23" s="129" t="s">
        <v>283</v>
      </c>
      <c r="H23" s="130"/>
      <c r="I23" s="73">
        <v>0</v>
      </c>
      <c r="J23" s="5"/>
    </row>
    <row r="24" spans="1:10" ht="15.15" customHeight="1" x14ac:dyDescent="0.25">
      <c r="D24" s="9"/>
      <c r="E24" s="9"/>
      <c r="F24" s="76"/>
      <c r="G24" s="129" t="s">
        <v>284</v>
      </c>
      <c r="H24" s="130"/>
      <c r="I24" s="73">
        <v>0</v>
      </c>
      <c r="J24" s="5"/>
    </row>
    <row r="25" spans="1:10" ht="15.15" customHeight="1" x14ac:dyDescent="0.25">
      <c r="F25" s="39"/>
      <c r="G25" s="129" t="s">
        <v>285</v>
      </c>
      <c r="H25" s="130"/>
      <c r="I25" s="73">
        <v>0</v>
      </c>
      <c r="J25" s="5"/>
    </row>
    <row r="26" spans="1:10" x14ac:dyDescent="0.25">
      <c r="A26" s="17"/>
      <c r="B26" s="17"/>
      <c r="C26" s="17"/>
      <c r="G26" s="9"/>
      <c r="H26" s="9"/>
      <c r="I26" s="9"/>
    </row>
    <row r="27" spans="1:10" ht="15.15" customHeight="1" x14ac:dyDescent="0.25">
      <c r="A27" s="131" t="s">
        <v>257</v>
      </c>
      <c r="B27" s="132"/>
      <c r="C27" s="77">
        <f>ROUND(SUM('Stavební rozpočet'!AI12:AI120),0)</f>
        <v>0</v>
      </c>
      <c r="D27" s="8"/>
      <c r="E27" s="17"/>
      <c r="F27" s="17"/>
      <c r="G27" s="17"/>
      <c r="H27" s="17"/>
      <c r="I27" s="17"/>
    </row>
    <row r="28" spans="1:10" ht="15.15" customHeight="1" x14ac:dyDescent="0.25">
      <c r="A28" s="131" t="s">
        <v>258</v>
      </c>
      <c r="B28" s="132"/>
      <c r="C28" s="77">
        <f>ROUND(SUM('Stavební rozpočet'!AJ12:AJ120),0)</f>
        <v>0</v>
      </c>
      <c r="D28" s="131" t="s">
        <v>271</v>
      </c>
      <c r="E28" s="132"/>
      <c r="F28" s="77">
        <f>ROUND(C28*(15/100),2)</f>
        <v>0</v>
      </c>
      <c r="G28" s="131" t="s">
        <v>286</v>
      </c>
      <c r="H28" s="132"/>
      <c r="I28" s="77">
        <f>ROUND(SUM(C27:C29),0)</f>
        <v>0</v>
      </c>
      <c r="J28" s="5"/>
    </row>
    <row r="29" spans="1:10" ht="15.15" customHeight="1" x14ac:dyDescent="0.25">
      <c r="A29" s="131" t="s">
        <v>259</v>
      </c>
      <c r="B29" s="132"/>
      <c r="C29" s="77">
        <f>ROUND(SUM('Stavební rozpočet'!AK12:AK120)+(F22+I22+F23+I23+I24+I25),0)</f>
        <v>0</v>
      </c>
      <c r="D29" s="131" t="s">
        <v>272</v>
      </c>
      <c r="E29" s="132"/>
      <c r="F29" s="77">
        <f>ROUND(C29*(21/100),2)</f>
        <v>0</v>
      </c>
      <c r="G29" s="131" t="s">
        <v>287</v>
      </c>
      <c r="H29" s="132"/>
      <c r="I29" s="77">
        <f>ROUND(SUM(F28:F29)+I28,0)</f>
        <v>0</v>
      </c>
      <c r="J29" s="5"/>
    </row>
    <row r="30" spans="1:10" x14ac:dyDescent="0.25">
      <c r="A30" s="68"/>
      <c r="B30" s="68"/>
      <c r="C30" s="68"/>
      <c r="D30" s="68"/>
      <c r="E30" s="68"/>
      <c r="F30" s="68"/>
      <c r="G30" s="68"/>
      <c r="H30" s="68"/>
      <c r="I30" s="68"/>
    </row>
    <row r="31" spans="1:10" ht="14.4" customHeight="1" x14ac:dyDescent="0.25">
      <c r="A31" s="133" t="s">
        <v>260</v>
      </c>
      <c r="B31" s="134"/>
      <c r="C31" s="135"/>
      <c r="D31" s="133" t="s">
        <v>273</v>
      </c>
      <c r="E31" s="134"/>
      <c r="F31" s="135"/>
      <c r="G31" s="133" t="s">
        <v>288</v>
      </c>
      <c r="H31" s="134"/>
      <c r="I31" s="135"/>
      <c r="J31" s="40"/>
    </row>
    <row r="32" spans="1:10" ht="14.4" customHeight="1" x14ac:dyDescent="0.25">
      <c r="A32" s="136"/>
      <c r="B32" s="137"/>
      <c r="C32" s="138"/>
      <c r="D32" s="136"/>
      <c r="E32" s="137"/>
      <c r="F32" s="138"/>
      <c r="G32" s="136"/>
      <c r="H32" s="137"/>
      <c r="I32" s="138"/>
      <c r="J32" s="40"/>
    </row>
    <row r="33" spans="1:10" ht="14.4" customHeight="1" x14ac:dyDescent="0.25">
      <c r="A33" s="136"/>
      <c r="B33" s="137"/>
      <c r="C33" s="138"/>
      <c r="D33" s="136"/>
      <c r="E33" s="137"/>
      <c r="F33" s="138"/>
      <c r="G33" s="136"/>
      <c r="H33" s="137"/>
      <c r="I33" s="138"/>
      <c r="J33" s="40"/>
    </row>
    <row r="34" spans="1:10" ht="14.4" customHeight="1" x14ac:dyDescent="0.25">
      <c r="A34" s="136"/>
      <c r="B34" s="137"/>
      <c r="C34" s="138"/>
      <c r="D34" s="136"/>
      <c r="E34" s="137"/>
      <c r="F34" s="138"/>
      <c r="G34" s="136"/>
      <c r="H34" s="137"/>
      <c r="I34" s="138"/>
      <c r="J34" s="40"/>
    </row>
    <row r="35" spans="1:10" ht="14.4" customHeight="1" x14ac:dyDescent="0.25">
      <c r="A35" s="139" t="s">
        <v>261</v>
      </c>
      <c r="B35" s="140"/>
      <c r="C35" s="141"/>
      <c r="D35" s="139" t="s">
        <v>261</v>
      </c>
      <c r="E35" s="140"/>
      <c r="F35" s="141"/>
      <c r="G35" s="139" t="s">
        <v>261</v>
      </c>
      <c r="H35" s="140"/>
      <c r="I35" s="141"/>
      <c r="J35" s="40"/>
    </row>
    <row r="36" spans="1:10" ht="11.25" customHeight="1" x14ac:dyDescent="0.25">
      <c r="A36" s="69" t="s">
        <v>49</v>
      </c>
      <c r="B36" s="71"/>
      <c r="C36" s="71"/>
      <c r="D36" s="71"/>
      <c r="E36" s="71"/>
      <c r="F36" s="71"/>
      <c r="G36" s="71"/>
      <c r="H36" s="71"/>
      <c r="I36" s="71"/>
    </row>
    <row r="37" spans="1:10" x14ac:dyDescent="0.25">
      <c r="A37" s="101" t="s">
        <v>50</v>
      </c>
      <c r="B37" s="90"/>
      <c r="C37" s="90"/>
      <c r="D37" s="90"/>
      <c r="E37" s="90"/>
      <c r="F37" s="90"/>
      <c r="G37" s="90"/>
      <c r="H37" s="90"/>
      <c r="I37" s="90"/>
    </row>
  </sheetData>
  <sheetProtection algorithmName="SHA-512" hashValue="2mKXykaMoCJucfCSm8vZzaWWWFqXqQ/6y/kPS6RSVtpSf/ZKCT3Iz1fz92dwAATIECzSdZs5HFkqj8GYFGhGxQ==" saltValue="ojGYcN0/NS6avEdXZUOSew==" spinCount="100000" sheet="1" objects="1" scenarios="1"/>
  <mergeCells count="83">
    <mergeCell ref="A37:I37"/>
    <mergeCell ref="A34:C34"/>
    <mergeCell ref="D34:F34"/>
    <mergeCell ref="G34:I34"/>
    <mergeCell ref="A35:C35"/>
    <mergeCell ref="D35:F35"/>
    <mergeCell ref="G35:I35"/>
    <mergeCell ref="A32:C32"/>
    <mergeCell ref="D32:F32"/>
    <mergeCell ref="G32:I32"/>
    <mergeCell ref="A33:C33"/>
    <mergeCell ref="D33:F33"/>
    <mergeCell ref="G33:I33"/>
    <mergeCell ref="A29:B29"/>
    <mergeCell ref="D29:E29"/>
    <mergeCell ref="G29:H29"/>
    <mergeCell ref="A31:C31"/>
    <mergeCell ref="D31:F31"/>
    <mergeCell ref="G31:I31"/>
    <mergeCell ref="A28:B28"/>
    <mergeCell ref="D28:E28"/>
    <mergeCell ref="G28:H28"/>
    <mergeCell ref="A21:B21"/>
    <mergeCell ref="D21:E21"/>
    <mergeCell ref="G21:H21"/>
    <mergeCell ref="A22:B22"/>
    <mergeCell ref="D22:E22"/>
    <mergeCell ref="G22:H22"/>
    <mergeCell ref="D23:E23"/>
    <mergeCell ref="G23:H23"/>
    <mergeCell ref="G24:H24"/>
    <mergeCell ref="G25:H25"/>
    <mergeCell ref="A27:B27"/>
    <mergeCell ref="D18:E18"/>
    <mergeCell ref="G18:H18"/>
    <mergeCell ref="D19:E19"/>
    <mergeCell ref="G19:H19"/>
    <mergeCell ref="A20:B20"/>
    <mergeCell ref="D20:E20"/>
    <mergeCell ref="G20:H20"/>
    <mergeCell ref="D15:E15"/>
    <mergeCell ref="G15:H15"/>
    <mergeCell ref="D16:E16"/>
    <mergeCell ref="G16:H16"/>
    <mergeCell ref="D17:E17"/>
    <mergeCell ref="G17:H17"/>
    <mergeCell ref="A12:I12"/>
    <mergeCell ref="B13:C13"/>
    <mergeCell ref="E13:F13"/>
    <mergeCell ref="H13:I13"/>
    <mergeCell ref="D14:E14"/>
    <mergeCell ref="G14:H14"/>
    <mergeCell ref="I10:I11"/>
    <mergeCell ref="A8:B9"/>
    <mergeCell ref="C8:D9"/>
    <mergeCell ref="E8:E9"/>
    <mergeCell ref="F8:G9"/>
    <mergeCell ref="H8:H9"/>
    <mergeCell ref="I8:I9"/>
    <mergeCell ref="A10:B11"/>
    <mergeCell ref="C10:D11"/>
    <mergeCell ref="E10:E11"/>
    <mergeCell ref="F10:G11"/>
    <mergeCell ref="H10:H11"/>
    <mergeCell ref="I6:I7"/>
    <mergeCell ref="A4:B5"/>
    <mergeCell ref="C4:D5"/>
    <mergeCell ref="E4:E5"/>
    <mergeCell ref="F4:G5"/>
    <mergeCell ref="H4:H5"/>
    <mergeCell ref="I4:I5"/>
    <mergeCell ref="A6:B7"/>
    <mergeCell ref="C6:D7"/>
    <mergeCell ref="E6:E7"/>
    <mergeCell ref="F6:G7"/>
    <mergeCell ref="H6:H7"/>
    <mergeCell ref="C1:I1"/>
    <mergeCell ref="A2:B3"/>
    <mergeCell ref="C2:D3"/>
    <mergeCell ref="E2:E3"/>
    <mergeCell ref="F2:G3"/>
    <mergeCell ref="H2:H3"/>
    <mergeCell ref="I2:I3"/>
  </mergeCells>
  <pageMargins left="0.39400000000000002" right="0.39400000000000002" top="0.59099999999999997" bottom="0.59099999999999997" header="0.5" footer="0.5"/>
  <pageSetup paperSize="0"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Stavební rozpočet</vt:lpstr>
      <vt:lpstr>Stavební rozpočet - součet</vt:lpstr>
      <vt:lpstr>Krycí list rozpočtu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spravce</dc:creator>
  <cp:lastModifiedBy>TROJAN Karel Ing. Bc. Ph.D.</cp:lastModifiedBy>
  <dcterms:created xsi:type="dcterms:W3CDTF">2021-08-09T14:31:03Z</dcterms:created>
  <dcterms:modified xsi:type="dcterms:W3CDTF">2025-10-01T20:03:39Z</dcterms:modified>
</cp:coreProperties>
</file>