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ojan.karel\Desktop\Rozpočtové práce 2025\Opravy komunikací 2025\Nám Svobody\"/>
    </mc:Choice>
  </mc:AlternateContent>
  <bookViews>
    <workbookView xWindow="-120" yWindow="-120" windowWidth="38640" windowHeight="21240"/>
  </bookViews>
  <sheets>
    <sheet name="Stavební rozpočet" sheetId="1" r:id="rId1"/>
    <sheet name="Stavební rozpočet - součet" sheetId="2" r:id="rId2"/>
    <sheet name="Krycí list rozpočtu" sheetId="5" r:id="rId3"/>
  </sheets>
  <calcPr calcId="162913"/>
</workbook>
</file>

<file path=xl/calcChain.xml><?xml version="1.0" encoding="utf-8"?>
<calcChain xmlns="http://schemas.openxmlformats.org/spreadsheetml/2006/main">
  <c r="J85" i="1" l="1"/>
  <c r="I85" i="1"/>
  <c r="H85" i="1"/>
  <c r="J84" i="1"/>
  <c r="I84" i="1"/>
  <c r="H84" i="1"/>
  <c r="J70" i="1"/>
  <c r="I70" i="1"/>
  <c r="H70" i="1"/>
  <c r="J68" i="1"/>
  <c r="I68" i="1"/>
  <c r="H68" i="1"/>
  <c r="H97" i="1" l="1"/>
  <c r="J97" i="1" s="1"/>
  <c r="H98" i="1"/>
  <c r="J98" i="1" s="1"/>
  <c r="K73" i="1"/>
  <c r="L80" i="1"/>
  <c r="I80" i="1"/>
  <c r="H80" i="1"/>
  <c r="J80" i="1"/>
  <c r="H62" i="1"/>
  <c r="H60" i="1"/>
  <c r="I62" i="1"/>
  <c r="I60" i="1"/>
  <c r="I65" i="1"/>
  <c r="I64" i="1"/>
  <c r="L65" i="1"/>
  <c r="J65" i="1"/>
  <c r="L64" i="1"/>
  <c r="J64" i="1"/>
  <c r="L62" i="1"/>
  <c r="J62" i="1"/>
  <c r="L60" i="1"/>
  <c r="J60" i="1"/>
  <c r="I88" i="1" l="1"/>
  <c r="L96" i="1"/>
  <c r="H96" i="1"/>
  <c r="J96" i="1" s="1"/>
  <c r="L95" i="1"/>
  <c r="H95" i="1"/>
  <c r="J95" i="1" s="1"/>
  <c r="L94" i="1"/>
  <c r="H94" i="1"/>
  <c r="J94" i="1" s="1"/>
  <c r="BI55" i="1" l="1"/>
  <c r="BC55" i="1"/>
  <c r="AO55" i="1"/>
  <c r="BH55" i="1" s="1"/>
  <c r="AB55" i="1" s="1"/>
  <c r="AN55" i="1"/>
  <c r="BG55" i="1" s="1"/>
  <c r="AA55" i="1" s="1"/>
  <c r="AJ55" i="1"/>
  <c r="AI55" i="1"/>
  <c r="AG55" i="1"/>
  <c r="AF55" i="1"/>
  <c r="AE55" i="1"/>
  <c r="AD55" i="1"/>
  <c r="AC55" i="1"/>
  <c r="Y55" i="1"/>
  <c r="L55" i="1"/>
  <c r="BE55" i="1" s="1"/>
  <c r="J55" i="1"/>
  <c r="AK55" i="1" s="1"/>
  <c r="H55" i="1" l="1"/>
  <c r="AV55" i="1"/>
  <c r="I55" i="1"/>
  <c r="AW55" i="1"/>
  <c r="BB55" i="1" l="1"/>
  <c r="AU55" i="1"/>
  <c r="BI77" i="1" l="1"/>
  <c r="BC77" i="1"/>
  <c r="AO77" i="1"/>
  <c r="I77" i="1" s="1"/>
  <c r="AN77" i="1"/>
  <c r="BG77" i="1" s="1"/>
  <c r="AA77" i="1" s="1"/>
  <c r="AJ77" i="1"/>
  <c r="AI77" i="1"/>
  <c r="AG77" i="1"/>
  <c r="AF77" i="1"/>
  <c r="AE77" i="1"/>
  <c r="AD77" i="1"/>
  <c r="AC77" i="1"/>
  <c r="Y77" i="1"/>
  <c r="L77" i="1"/>
  <c r="BE77" i="1" s="1"/>
  <c r="J77" i="1"/>
  <c r="AK77" i="1" s="1"/>
  <c r="I54" i="1"/>
  <c r="H54" i="1"/>
  <c r="I46" i="1"/>
  <c r="L93" i="1"/>
  <c r="H93" i="1"/>
  <c r="J93" i="1" s="1"/>
  <c r="L92" i="1"/>
  <c r="H92" i="1"/>
  <c r="J92" i="1" s="1"/>
  <c r="L91" i="1"/>
  <c r="H91" i="1"/>
  <c r="J91" i="1" s="1"/>
  <c r="H77" i="1" l="1"/>
  <c r="AW77" i="1"/>
  <c r="BH77" i="1"/>
  <c r="AB77" i="1" s="1"/>
  <c r="AV77" i="1"/>
  <c r="AU77" i="1" l="1"/>
  <c r="BB77" i="1"/>
  <c r="BI75" i="1" l="1"/>
  <c r="BC75" i="1"/>
  <c r="AO75" i="1"/>
  <c r="BH75" i="1" s="1"/>
  <c r="AB75" i="1" s="1"/>
  <c r="AN75" i="1"/>
  <c r="BG75" i="1" s="1"/>
  <c r="AA75" i="1" s="1"/>
  <c r="AJ75" i="1"/>
  <c r="AI75" i="1"/>
  <c r="AG75" i="1"/>
  <c r="AF75" i="1"/>
  <c r="AE75" i="1"/>
  <c r="AD75" i="1"/>
  <c r="AC75" i="1"/>
  <c r="Y75" i="1"/>
  <c r="L75" i="1"/>
  <c r="BE75" i="1" s="1"/>
  <c r="J75" i="1"/>
  <c r="AK75" i="1" s="1"/>
  <c r="H75" i="1"/>
  <c r="J66" i="1"/>
  <c r="I66" i="1"/>
  <c r="H66" i="1"/>
  <c r="I75" i="1" l="1"/>
  <c r="AV75" i="1"/>
  <c r="AW75" i="1"/>
  <c r="BI58" i="1"/>
  <c r="BC58" i="1"/>
  <c r="AO58" i="1"/>
  <c r="BH58" i="1" s="1"/>
  <c r="AB58" i="1" s="1"/>
  <c r="AN58" i="1"/>
  <c r="BG58" i="1" s="1"/>
  <c r="AA58" i="1" s="1"/>
  <c r="AJ58" i="1"/>
  <c r="AS57" i="1" s="1"/>
  <c r="AI58" i="1"/>
  <c r="AR57" i="1" s="1"/>
  <c r="AG58" i="1"/>
  <c r="AF58" i="1"/>
  <c r="AE58" i="1"/>
  <c r="AD58" i="1"/>
  <c r="AC58" i="1"/>
  <c r="Y58" i="1"/>
  <c r="L58" i="1"/>
  <c r="J58" i="1"/>
  <c r="I58" i="1"/>
  <c r="I57" i="1" s="1"/>
  <c r="E15" i="2" s="1"/>
  <c r="L54" i="1"/>
  <c r="J54" i="1"/>
  <c r="BB75" i="1" l="1"/>
  <c r="BE58" i="1"/>
  <c r="L57" i="1"/>
  <c r="G15" i="2" s="1"/>
  <c r="AU75" i="1"/>
  <c r="AK58" i="1"/>
  <c r="AT57" i="1" s="1"/>
  <c r="J57" i="1"/>
  <c r="F15" i="2" s="1"/>
  <c r="AV58" i="1"/>
  <c r="AW58" i="1"/>
  <c r="H58" i="1"/>
  <c r="H57" i="1" s="1"/>
  <c r="D15" i="2" s="1"/>
  <c r="BB58" i="1" l="1"/>
  <c r="AU58" i="1"/>
  <c r="L46" i="1" l="1"/>
  <c r="J46" i="1"/>
  <c r="H46" i="1"/>
  <c r="L39" i="1" l="1"/>
  <c r="J39" i="1"/>
  <c r="I39" i="1"/>
  <c r="L43" i="1"/>
  <c r="J43" i="1"/>
  <c r="I43" i="1"/>
  <c r="L37" i="1"/>
  <c r="J37" i="1"/>
  <c r="I37" i="1"/>
  <c r="I41" i="1" l="1"/>
  <c r="I35" i="1"/>
  <c r="E19" i="2"/>
  <c r="J74" i="1"/>
  <c r="I74" i="1"/>
  <c r="H74" i="1"/>
  <c r="H73" i="1" l="1"/>
  <c r="D17" i="2" s="1"/>
  <c r="I73" i="1"/>
  <c r="E17" i="2" s="1"/>
  <c r="J73" i="1"/>
  <c r="F17" i="2" s="1"/>
  <c r="H90" i="1"/>
  <c r="L41" i="1"/>
  <c r="F107" i="1" s="1"/>
  <c r="J41" i="1"/>
  <c r="BJ41" i="1"/>
  <c r="L35" i="1"/>
  <c r="J35" i="1"/>
  <c r="BJ35" i="1"/>
  <c r="BD41" i="1"/>
  <c r="AK41" i="1"/>
  <c r="AJ41" i="1"/>
  <c r="AH41" i="1"/>
  <c r="AG41" i="1"/>
  <c r="AF41" i="1"/>
  <c r="AE41" i="1"/>
  <c r="AD41" i="1"/>
  <c r="Z41" i="1"/>
  <c r="BF41" i="1"/>
  <c r="AL41" i="1"/>
  <c r="AK35" i="1"/>
  <c r="AJ35" i="1"/>
  <c r="AH35" i="1"/>
  <c r="AG35" i="1"/>
  <c r="AF35" i="1"/>
  <c r="AE35" i="1"/>
  <c r="AD35" i="1"/>
  <c r="Z35" i="1"/>
  <c r="BF35" i="1"/>
  <c r="AL35" i="1"/>
  <c r="J50" i="1"/>
  <c r="L50" i="1"/>
  <c r="Y50" i="1"/>
  <c r="AC50" i="1"/>
  <c r="AD50" i="1"/>
  <c r="AE50" i="1"/>
  <c r="AF50" i="1"/>
  <c r="AG50" i="1"/>
  <c r="AI50" i="1"/>
  <c r="AJ50" i="1"/>
  <c r="AN50" i="1"/>
  <c r="AV50" i="1" s="1"/>
  <c r="AO50" i="1"/>
  <c r="I50" i="1" s="1"/>
  <c r="BC50" i="1"/>
  <c r="BI50" i="1"/>
  <c r="L74" i="1"/>
  <c r="AP74" i="1"/>
  <c r="AK74" i="1"/>
  <c r="AT73" i="1" s="1"/>
  <c r="AJ74" i="1"/>
  <c r="AS73" i="1" s="1"/>
  <c r="AH74" i="1"/>
  <c r="AG74" i="1"/>
  <c r="AF74" i="1"/>
  <c r="AE74" i="1"/>
  <c r="AD74" i="1"/>
  <c r="Z74" i="1"/>
  <c r="BF74" i="1"/>
  <c r="AL74" i="1"/>
  <c r="L90" i="1"/>
  <c r="L88" i="1" s="1"/>
  <c r="J90" i="1"/>
  <c r="J88" i="1" s="1"/>
  <c r="AL90" i="1"/>
  <c r="AK90" i="1"/>
  <c r="AJ90" i="1"/>
  <c r="AG90" i="1"/>
  <c r="AF90" i="1"/>
  <c r="AE90" i="1"/>
  <c r="AD90" i="1"/>
  <c r="AC90" i="1"/>
  <c r="AB90" i="1"/>
  <c r="Z90" i="1"/>
  <c r="BF90" i="1"/>
  <c r="L73" i="1" l="1"/>
  <c r="G17" i="2" s="1"/>
  <c r="BD90" i="1"/>
  <c r="H88" i="1"/>
  <c r="D19" i="2" s="1"/>
  <c r="BE50" i="1"/>
  <c r="F19" i="2"/>
  <c r="AP35" i="1"/>
  <c r="AX35" i="1" s="1"/>
  <c r="AO41" i="1"/>
  <c r="BH41" i="1" s="1"/>
  <c r="AB41" i="1" s="1"/>
  <c r="AP41" i="1"/>
  <c r="BI41" i="1" s="1"/>
  <c r="AC41" i="1" s="1"/>
  <c r="AO35" i="1"/>
  <c r="AW35" i="1" s="1"/>
  <c r="BD35" i="1"/>
  <c r="AP90" i="1"/>
  <c r="AX90" i="1" s="1"/>
  <c r="BJ90" i="1"/>
  <c r="AH90" i="1" s="1"/>
  <c r="BG50" i="1"/>
  <c r="AA50" i="1" s="1"/>
  <c r="H50" i="1"/>
  <c r="AK50" i="1"/>
  <c r="BH50" i="1"/>
  <c r="AB50" i="1" s="1"/>
  <c r="AW50" i="1"/>
  <c r="AU50" i="1" s="1"/>
  <c r="BD74" i="1"/>
  <c r="BJ74" i="1"/>
  <c r="AO90" i="1"/>
  <c r="BH90" i="1" s="1"/>
  <c r="AO74" i="1"/>
  <c r="BH74" i="1" s="1"/>
  <c r="AB74" i="1" s="1"/>
  <c r="AT88" i="1"/>
  <c r="AU88" i="1"/>
  <c r="AX74" i="1"/>
  <c r="AU73" i="1"/>
  <c r="BI74" i="1"/>
  <c r="AC74" i="1" s="1"/>
  <c r="AS88" i="1"/>
  <c r="G19" i="2" l="1"/>
  <c r="I107" i="1"/>
  <c r="H107" i="1"/>
  <c r="AX41" i="1"/>
  <c r="BI35" i="1"/>
  <c r="AC35" i="1" s="1"/>
  <c r="L107" i="1"/>
  <c r="J107" i="1"/>
  <c r="AW41" i="1"/>
  <c r="BI90" i="1"/>
  <c r="BH35" i="1"/>
  <c r="AB35" i="1" s="1"/>
  <c r="AV35" i="1"/>
  <c r="BC35" i="1"/>
  <c r="BB50" i="1"/>
  <c r="AW74" i="1"/>
  <c r="AV74" i="1" s="1"/>
  <c r="AW90" i="1"/>
  <c r="BC90" i="1" s="1"/>
  <c r="AV41" i="1" l="1"/>
  <c r="BC41" i="1"/>
  <c r="AV90" i="1"/>
  <c r="BC74" i="1"/>
  <c r="L85" i="1" l="1"/>
  <c r="BI53" i="1" l="1"/>
  <c r="BC53" i="1"/>
  <c r="AO53" i="1"/>
  <c r="AW53" i="1" s="1"/>
  <c r="AN53" i="1"/>
  <c r="BG53" i="1" s="1"/>
  <c r="AA53" i="1" s="1"/>
  <c r="AJ53" i="1"/>
  <c r="AS49" i="1" s="1"/>
  <c r="AI53" i="1"/>
  <c r="AR49" i="1" s="1"/>
  <c r="AG53" i="1"/>
  <c r="AF53" i="1"/>
  <c r="AE53" i="1"/>
  <c r="AD53" i="1"/>
  <c r="AC53" i="1"/>
  <c r="Y53" i="1"/>
  <c r="L53" i="1"/>
  <c r="L49" i="1" s="1"/>
  <c r="J53" i="1"/>
  <c r="J49" i="1" s="1"/>
  <c r="AK53" i="1" l="1"/>
  <c r="AT49" i="1" s="1"/>
  <c r="BE53" i="1"/>
  <c r="I53" i="1"/>
  <c r="I49" i="1" s="1"/>
  <c r="BH53" i="1"/>
  <c r="AB53" i="1" s="1"/>
  <c r="H53" i="1"/>
  <c r="H49" i="1" s="1"/>
  <c r="AV53" i="1"/>
  <c r="BB53" i="1" s="1"/>
  <c r="L84" i="1"/>
  <c r="J83" i="1"/>
  <c r="F16" i="2" s="1"/>
  <c r="I83" i="1"/>
  <c r="E16" i="2" s="1"/>
  <c r="H83" i="1"/>
  <c r="D16" i="2" s="1"/>
  <c r="L83" i="1" l="1"/>
  <c r="F101" i="1" s="1"/>
  <c r="AU53" i="1"/>
  <c r="L31" i="1"/>
  <c r="L30" i="1" s="1"/>
  <c r="F104" i="1" l="1"/>
  <c r="F105" i="1" s="1"/>
  <c r="G16" i="2"/>
  <c r="C2" i="5"/>
  <c r="F2" i="5"/>
  <c r="C4" i="5"/>
  <c r="F4" i="5"/>
  <c r="C6" i="5"/>
  <c r="F6" i="5"/>
  <c r="C8" i="5"/>
  <c r="F8" i="5"/>
  <c r="C10" i="5"/>
  <c r="F10" i="5"/>
  <c r="I10" i="5"/>
  <c r="F22" i="5"/>
  <c r="I22" i="5"/>
  <c r="J13" i="1"/>
  <c r="L13" i="1"/>
  <c r="BE13" i="1" s="1"/>
  <c r="Y13" i="1"/>
  <c r="AC13" i="1"/>
  <c r="AD13" i="1"/>
  <c r="AE13" i="1"/>
  <c r="AF13" i="1"/>
  <c r="AG13" i="1"/>
  <c r="AI13" i="1"/>
  <c r="AJ13" i="1"/>
  <c r="AN13" i="1"/>
  <c r="AV13" i="1" s="1"/>
  <c r="AO13" i="1"/>
  <c r="I13" i="1" s="1"/>
  <c r="BC13" i="1"/>
  <c r="BI13" i="1"/>
  <c r="J15" i="1"/>
  <c r="AK15" i="1" s="1"/>
  <c r="L15" i="1"/>
  <c r="Y15" i="1"/>
  <c r="AC15" i="1"/>
  <c r="AD15" i="1"/>
  <c r="AE15" i="1"/>
  <c r="AF15" i="1"/>
  <c r="AG15" i="1"/>
  <c r="AI15" i="1"/>
  <c r="AJ15" i="1"/>
  <c r="AN15" i="1"/>
  <c r="H15" i="1" s="1"/>
  <c r="AO15" i="1"/>
  <c r="BH15" i="1" s="1"/>
  <c r="AB15" i="1" s="1"/>
  <c r="BC15" i="1"/>
  <c r="BI15" i="1"/>
  <c r="J17" i="1"/>
  <c r="AK17" i="1" s="1"/>
  <c r="L17" i="1"/>
  <c r="BE17" i="1" s="1"/>
  <c r="Y17" i="1"/>
  <c r="AC17" i="1"/>
  <c r="AD17" i="1"/>
  <c r="AE17" i="1"/>
  <c r="AF17" i="1"/>
  <c r="AG17" i="1"/>
  <c r="AI17" i="1"/>
  <c r="AJ17" i="1"/>
  <c r="AN17" i="1"/>
  <c r="H17" i="1" s="1"/>
  <c r="AO17" i="1"/>
  <c r="AW17" i="1" s="1"/>
  <c r="BC17" i="1"/>
  <c r="BI17" i="1"/>
  <c r="J19" i="1"/>
  <c r="L19" i="1"/>
  <c r="BE19" i="1" s="1"/>
  <c r="Y19" i="1"/>
  <c r="AC19" i="1"/>
  <c r="AD19" i="1"/>
  <c r="AE19" i="1"/>
  <c r="AF19" i="1"/>
  <c r="AG19" i="1"/>
  <c r="AI19" i="1"/>
  <c r="AJ19" i="1"/>
  <c r="AN19" i="1"/>
  <c r="BG19" i="1" s="1"/>
  <c r="AA19" i="1" s="1"/>
  <c r="AO19" i="1"/>
  <c r="I19" i="1" s="1"/>
  <c r="BC19" i="1"/>
  <c r="BI19" i="1"/>
  <c r="J21" i="1"/>
  <c r="L21" i="1"/>
  <c r="BE21" i="1" s="1"/>
  <c r="Y21" i="1"/>
  <c r="AC21" i="1"/>
  <c r="AD21" i="1"/>
  <c r="AE21" i="1"/>
  <c r="AF21" i="1"/>
  <c r="AG21" i="1"/>
  <c r="AI21" i="1"/>
  <c r="AJ21" i="1"/>
  <c r="AN21" i="1"/>
  <c r="H21" i="1" s="1"/>
  <c r="AO21" i="1"/>
  <c r="BH21" i="1" s="1"/>
  <c r="AB21" i="1" s="1"/>
  <c r="BC21" i="1"/>
  <c r="BI21" i="1"/>
  <c r="J23" i="1"/>
  <c r="L23" i="1"/>
  <c r="BE23" i="1" s="1"/>
  <c r="Y23" i="1"/>
  <c r="AC23" i="1"/>
  <c r="AD23" i="1"/>
  <c r="AE23" i="1"/>
  <c r="AF23" i="1"/>
  <c r="AG23" i="1"/>
  <c r="AI23" i="1"/>
  <c r="AJ23" i="1"/>
  <c r="AN23" i="1"/>
  <c r="BG23" i="1" s="1"/>
  <c r="AA23" i="1" s="1"/>
  <c r="AO23" i="1"/>
  <c r="BH23" i="1" s="1"/>
  <c r="AB23" i="1" s="1"/>
  <c r="BC23" i="1"/>
  <c r="BI23" i="1"/>
  <c r="J25" i="1"/>
  <c r="AK25" i="1" s="1"/>
  <c r="L25" i="1"/>
  <c r="BE25" i="1" s="1"/>
  <c r="Y25" i="1"/>
  <c r="AC25" i="1"/>
  <c r="AD25" i="1"/>
  <c r="AE25" i="1"/>
  <c r="AF25" i="1"/>
  <c r="AG25" i="1"/>
  <c r="AI25" i="1"/>
  <c r="AJ25" i="1"/>
  <c r="AN25" i="1"/>
  <c r="AV25" i="1" s="1"/>
  <c r="AO25" i="1"/>
  <c r="I25" i="1" s="1"/>
  <c r="BC25" i="1"/>
  <c r="BI25" i="1"/>
  <c r="J28" i="1"/>
  <c r="J27" i="1" s="1"/>
  <c r="F12" i="2" s="1"/>
  <c r="L28" i="1"/>
  <c r="L27" i="1" s="1"/>
  <c r="G12" i="2" s="1"/>
  <c r="Y28" i="1"/>
  <c r="AC28" i="1"/>
  <c r="AD28" i="1"/>
  <c r="AE28" i="1"/>
  <c r="AF28" i="1"/>
  <c r="AG28" i="1"/>
  <c r="AI28" i="1"/>
  <c r="AR27" i="1" s="1"/>
  <c r="AJ28" i="1"/>
  <c r="AS27" i="1" s="1"/>
  <c r="AN28" i="1"/>
  <c r="H28" i="1" s="1"/>
  <c r="H27" i="1" s="1"/>
  <c r="D12" i="2" s="1"/>
  <c r="AO28" i="1"/>
  <c r="I28" i="1" s="1"/>
  <c r="I27" i="1" s="1"/>
  <c r="E12" i="2" s="1"/>
  <c r="BC28" i="1"/>
  <c r="BI28" i="1"/>
  <c r="J31" i="1"/>
  <c r="J30" i="1" s="1"/>
  <c r="BE31" i="1"/>
  <c r="Y31" i="1"/>
  <c r="AC31" i="1"/>
  <c r="AD31" i="1"/>
  <c r="AE31" i="1"/>
  <c r="AF31" i="1"/>
  <c r="AG31" i="1"/>
  <c r="AI31" i="1"/>
  <c r="AJ31" i="1"/>
  <c r="AN31" i="1"/>
  <c r="H31" i="1" s="1"/>
  <c r="H30" i="1" s="1"/>
  <c r="AO31" i="1"/>
  <c r="BH31" i="1" s="1"/>
  <c r="AB31" i="1" s="1"/>
  <c r="BC31" i="1"/>
  <c r="BI31" i="1"/>
  <c r="AA101" i="1"/>
  <c r="AB101" i="1"/>
  <c r="AC101" i="1"/>
  <c r="AD101" i="1"/>
  <c r="AE101" i="1"/>
  <c r="AF101" i="1"/>
  <c r="AG101" i="1"/>
  <c r="AI101" i="1"/>
  <c r="AR100" i="1" s="1"/>
  <c r="AJ101" i="1"/>
  <c r="AS100" i="1" s="1"/>
  <c r="AN101" i="1"/>
  <c r="AO101" i="1"/>
  <c r="BC101" i="1"/>
  <c r="AA104" i="1"/>
  <c r="AB104" i="1"/>
  <c r="AC104" i="1"/>
  <c r="AD104" i="1"/>
  <c r="AE104" i="1"/>
  <c r="AF104" i="1"/>
  <c r="AG104" i="1"/>
  <c r="AI104" i="1"/>
  <c r="AJ104" i="1"/>
  <c r="AN104" i="1"/>
  <c r="AO104" i="1"/>
  <c r="BC104" i="1"/>
  <c r="AA105" i="1"/>
  <c r="AB105" i="1"/>
  <c r="AC105" i="1"/>
  <c r="AD105" i="1"/>
  <c r="AE105" i="1"/>
  <c r="AF105" i="1"/>
  <c r="AG105" i="1"/>
  <c r="AI105" i="1"/>
  <c r="AJ105" i="1"/>
  <c r="AN105" i="1"/>
  <c r="AO105" i="1"/>
  <c r="BC105" i="1"/>
  <c r="B2" i="2"/>
  <c r="E2" i="2"/>
  <c r="B4" i="2"/>
  <c r="E4" i="2"/>
  <c r="B6" i="2"/>
  <c r="E6" i="2"/>
  <c r="B8" i="2"/>
  <c r="E8" i="2"/>
  <c r="C20" i="5" l="1"/>
  <c r="L104" i="1"/>
  <c r="BE104" i="1" s="1"/>
  <c r="BI104" i="1"/>
  <c r="Y104" i="1" s="1"/>
  <c r="I104" i="1"/>
  <c r="BG104" i="1"/>
  <c r="J104" i="1"/>
  <c r="AK104" i="1" s="1"/>
  <c r="BI105" i="1"/>
  <c r="Y105" i="1" s="1"/>
  <c r="L105" i="1"/>
  <c r="BE105" i="1" s="1"/>
  <c r="J105" i="1"/>
  <c r="AK105" i="1" s="1"/>
  <c r="BH105" i="1"/>
  <c r="BG105" i="1"/>
  <c r="J12" i="2"/>
  <c r="C16" i="5"/>
  <c r="J12" i="1"/>
  <c r="BH101" i="1"/>
  <c r="I12" i="2"/>
  <c r="G14" i="2"/>
  <c r="F14" i="2"/>
  <c r="AK19" i="1"/>
  <c r="BH13" i="1"/>
  <c r="AB13" i="1" s="1"/>
  <c r="H104" i="1"/>
  <c r="AS103" i="1"/>
  <c r="AV104" i="1"/>
  <c r="AK13" i="1"/>
  <c r="H25" i="1"/>
  <c r="BH19" i="1"/>
  <c r="AB19" i="1" s="1"/>
  <c r="AS30" i="1"/>
  <c r="BG17" i="1"/>
  <c r="AA17" i="1" s="1"/>
  <c r="BG15" i="1"/>
  <c r="AA15" i="1" s="1"/>
  <c r="I15" i="1"/>
  <c r="AR30" i="1"/>
  <c r="BG25" i="1"/>
  <c r="AA25" i="1" s="1"/>
  <c r="AW19" i="1"/>
  <c r="AK21" i="1"/>
  <c r="AV17" i="1"/>
  <c r="AU17" i="1" s="1"/>
  <c r="AW15" i="1"/>
  <c r="AW104" i="1"/>
  <c r="AV15" i="1"/>
  <c r="C28" i="5"/>
  <c r="F28" i="5" s="1"/>
  <c r="AW31" i="1"/>
  <c r="AK28" i="1"/>
  <c r="AT27" i="1" s="1"/>
  <c r="AW23" i="1"/>
  <c r="AW21" i="1"/>
  <c r="BG13" i="1"/>
  <c r="AA13" i="1" s="1"/>
  <c r="C27" i="5"/>
  <c r="BH17" i="1"/>
  <c r="AB17" i="1" s="1"/>
  <c r="AR12" i="1"/>
  <c r="I17" i="1"/>
  <c r="L12" i="1"/>
  <c r="G11" i="2" s="1"/>
  <c r="AW13" i="1"/>
  <c r="BB13" i="1" s="1"/>
  <c r="C18" i="5"/>
  <c r="H105" i="1"/>
  <c r="F13" i="2"/>
  <c r="BE28" i="1"/>
  <c r="C19" i="5"/>
  <c r="C17" i="5"/>
  <c r="I23" i="1"/>
  <c r="I31" i="1"/>
  <c r="I30" i="1" s="1"/>
  <c r="BH104" i="1"/>
  <c r="AR103" i="1"/>
  <c r="G13" i="2"/>
  <c r="I21" i="1"/>
  <c r="D13" i="2"/>
  <c r="AW105" i="1"/>
  <c r="AK31" i="1"/>
  <c r="AV19" i="1"/>
  <c r="BE15" i="1"/>
  <c r="H13" i="1"/>
  <c r="AV105" i="1"/>
  <c r="BH28" i="1"/>
  <c r="AB28" i="1" s="1"/>
  <c r="I105" i="1"/>
  <c r="BG28" i="1"/>
  <c r="AA28" i="1" s="1"/>
  <c r="BH25" i="1"/>
  <c r="AB25" i="1" s="1"/>
  <c r="AV23" i="1"/>
  <c r="H19" i="1"/>
  <c r="AS12" i="1"/>
  <c r="H23" i="1"/>
  <c r="AW28" i="1"/>
  <c r="AK23" i="1"/>
  <c r="BG31" i="1"/>
  <c r="AA31" i="1" s="1"/>
  <c r="AV28" i="1"/>
  <c r="AW25" i="1"/>
  <c r="AU25" i="1" s="1"/>
  <c r="BG21" i="1"/>
  <c r="AA21" i="1" s="1"/>
  <c r="AV31" i="1"/>
  <c r="AV21" i="1"/>
  <c r="F11" i="2" l="1"/>
  <c r="I11" i="2" s="1"/>
  <c r="L103" i="1"/>
  <c r="G20" i="2" s="1"/>
  <c r="J103" i="1"/>
  <c r="F20" i="2" s="1"/>
  <c r="I20" i="2" s="1"/>
  <c r="I103" i="1"/>
  <c r="E20" i="2" s="1"/>
  <c r="C21" i="5" s="1"/>
  <c r="H103" i="1"/>
  <c r="D20" i="2" s="1"/>
  <c r="AW101" i="1"/>
  <c r="BG101" i="1"/>
  <c r="AV101" i="1"/>
  <c r="I101" i="1"/>
  <c r="I100" i="1" s="1"/>
  <c r="E18" i="2" s="1"/>
  <c r="J101" i="1"/>
  <c r="L101" i="1"/>
  <c r="BI101" i="1"/>
  <c r="Y101" i="1" s="1"/>
  <c r="H101" i="1"/>
  <c r="H100" i="1" s="1"/>
  <c r="D18" i="2" s="1"/>
  <c r="I17" i="2"/>
  <c r="E13" i="2"/>
  <c r="I13" i="2"/>
  <c r="D14" i="2"/>
  <c r="BB104" i="1"/>
  <c r="BB17" i="1"/>
  <c r="BB15" i="1"/>
  <c r="AT103" i="1"/>
  <c r="I12" i="1"/>
  <c r="E11" i="2" s="1"/>
  <c r="AU13" i="1"/>
  <c r="AT12" i="1"/>
  <c r="AU104" i="1"/>
  <c r="AT30" i="1"/>
  <c r="AU15" i="1"/>
  <c r="BB25" i="1"/>
  <c r="E14" i="2"/>
  <c r="AU23" i="1"/>
  <c r="BB23" i="1"/>
  <c r="BB19" i="1"/>
  <c r="AU19" i="1"/>
  <c r="AU21" i="1"/>
  <c r="BB21" i="1"/>
  <c r="AU31" i="1"/>
  <c r="BB31" i="1"/>
  <c r="AU105" i="1"/>
  <c r="BB105" i="1"/>
  <c r="H12" i="1"/>
  <c r="D11" i="2" s="1"/>
  <c r="AU28" i="1"/>
  <c r="BB28" i="1"/>
  <c r="J13" i="2" l="1"/>
  <c r="E21" i="2"/>
  <c r="C15" i="5" s="1"/>
  <c r="AU101" i="1"/>
  <c r="BB101" i="1"/>
  <c r="J11" i="2"/>
  <c r="BE101" i="1"/>
  <c r="L100" i="1"/>
  <c r="G18" i="2" s="1"/>
  <c r="AK101" i="1"/>
  <c r="AT100" i="1" s="1"/>
  <c r="J100" i="1"/>
  <c r="J112" i="1" s="1"/>
  <c r="D21" i="2"/>
  <c r="C14" i="5" s="1"/>
  <c r="I14" i="2"/>
  <c r="C22" i="5" l="1"/>
  <c r="C29" i="5" s="1"/>
  <c r="I28" i="5" s="1"/>
  <c r="F18" i="2"/>
  <c r="F21" i="2" s="1"/>
  <c r="I18" i="2" l="1"/>
  <c r="F29" i="5"/>
  <c r="I29" i="5" s="1"/>
</calcChain>
</file>

<file path=xl/sharedStrings.xml><?xml version="1.0" encoding="utf-8"?>
<sst xmlns="http://schemas.openxmlformats.org/spreadsheetml/2006/main" count="619" uniqueCount="305">
  <si>
    <t>Stavební rozpočet</t>
  </si>
  <si>
    <t>Název stavby:</t>
  </si>
  <si>
    <t>Druh stavby:</t>
  </si>
  <si>
    <t>Lokalita:</t>
  </si>
  <si>
    <t>JKSO:</t>
  </si>
  <si>
    <t>Č</t>
  </si>
  <si>
    <t xml:space="preserve">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</si>
  <si>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</si>
  <si>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</si>
  <si>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</si>
  <si>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</si>
  <si>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</si>
  <si>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</si>
  <si>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</si>
  <si>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</si>
  <si>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</si>
  <si>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</si>
  <si>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</si>
  <si>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Poznámka:</t>
  </si>
  <si>
    <t>Náklady na veškeré výkony a materiály jsou obsaženy v příslušných položkách</t>
  </si>
  <si>
    <t>Objekt</t>
  </si>
  <si>
    <t>Kód</t>
  </si>
  <si>
    <t>010VD</t>
  </si>
  <si>
    <t>100 00-01</t>
  </si>
  <si>
    <t>020VD</t>
  </si>
  <si>
    <t>200 00-01</t>
  </si>
  <si>
    <t>Varianta:</t>
  </si>
  <si>
    <t>57</t>
  </si>
  <si>
    <t>573211112R00</t>
  </si>
  <si>
    <t>91</t>
  </si>
  <si>
    <t>919726212R00</t>
  </si>
  <si>
    <t>H22</t>
  </si>
  <si>
    <t>998225111R00</t>
  </si>
  <si>
    <t>S</t>
  </si>
  <si>
    <t>979082213R00</t>
  </si>
  <si>
    <t>979082219R00</t>
  </si>
  <si>
    <t>Jihlava</t>
  </si>
  <si>
    <t>Zkrácený popis / Varianta</t>
  </si>
  <si>
    <t>Rozměry</t>
  </si>
  <si>
    <t>Vedlejší náklady</t>
  </si>
  <si>
    <t>Dopravně inženýrská opatření</t>
  </si>
  <si>
    <t>Náklady na zajištění dopravy</t>
  </si>
  <si>
    <t>Náklady na projednání návrhu dočasného dopravního značení /MMJ, odbor dopravy, Policie ČR, DI/, zřízení, přemisťování a zrušení dočasného dopravního značení pro jednotlivé stavby ve vazbě na harmonogram prací.</t>
  </si>
  <si>
    <t>Náklady na informační cedule</t>
  </si>
  <si>
    <t xml:space="preserve">Náklady na pořízení informačních, zákazových a příkazových cedulí pro zajištění označení stavby a příkazových cedulí pro vymezení pohybu chodců či vozidel po staveništi (osazení dle potřeby stavby), _x000D_
náklady na osazení, přemístění a zrušení cedulí_x000D_
</t>
  </si>
  <si>
    <t>Náklady na oplocení, ohrazení výkopů</t>
  </si>
  <si>
    <t>Náklady na zřízení, údržbu, přemístění a zrušení oplocení či ohrazení výkopových rýh a jam, případně jejich jiné vyznačení v terénu po dobu jejich existence s odkazem na předpisy BOZP a součinnost určeného koordinátora BOZP stavby</t>
  </si>
  <si>
    <t>Náklady na zařízení staveniště</t>
  </si>
  <si>
    <t xml:space="preserve">Náklady na projednání a zajištění míst GZS (zázemí zhotovitele, skládky materiálů k zabudování do stavby, skládky sypkých materiálů). Vše rozsahu souvisejících nákladů a případných poplatků za užívání či nájem ploch. Zařízení staveniště pro stavbu._x000D_
</t>
  </si>
  <si>
    <t>Náklady na zajištění skládek</t>
  </si>
  <si>
    <t>Náklady na projednání a zajištění míst mezideponií a deponií vytěžených hmot, tzn. projednání uložení vytěžených hmot na dočasné skládky po dobu stavby, respektive trvalé skládky za účelem trvalého uložení vytěžených hmot s vlastníky pozemků či skládek. Před zahájením stavby bude doložen investorovi smluvní vztah s vlastníkem pozemků na nichž budou zeminy či vytěžené hmoty ukládány.</t>
  </si>
  <si>
    <t>Náklady na vypracování harmonogramu</t>
  </si>
  <si>
    <t>Náklady na vypracování harmonogramu stavebních prací pro stavbu s jeho průběžnou aktualizací, projednání a odsouhlasení s investorem, provozovatelem, DOS a koordinátorem BOZP.</t>
  </si>
  <si>
    <t>Ostatní náklady</t>
  </si>
  <si>
    <t>Dokumentace skutečného provedení stavby</t>
  </si>
  <si>
    <t>Dokumentace skutečného provedení stavebních objektů /opravené situace, popř. předepsaná fotodokumentace atd./, dle specifikace uvedené u jednotlivých stavebních objektů, mimo geodetického zaměření Microstation.</t>
  </si>
  <si>
    <t>Přípravné a přidružené práce</t>
  </si>
  <si>
    <t>Kryty pozemních komunikací, letišť a ploch z kameniva nebo živičné</t>
  </si>
  <si>
    <t>Postřik živičný spojovací z asfaltu 0,25 kg/m2</t>
  </si>
  <si>
    <t>modifikovaný</t>
  </si>
  <si>
    <t>Doplňující konstrukce a práce na pozemních komunikacích a zpevněných plochách</t>
  </si>
  <si>
    <t>Těsnění spár krytu vozovky zálivkou za studena</t>
  </si>
  <si>
    <t>Komunikace pozemní a letiště</t>
  </si>
  <si>
    <t>Přesun hmot, pozemní komunikace, kryt živičný</t>
  </si>
  <si>
    <t>Přesuny sutí</t>
  </si>
  <si>
    <t>Vodorovná doprava suti po suchu do 1 km</t>
  </si>
  <si>
    <t>Příplatek za dopravu suti po suchu za další 1 km</t>
  </si>
  <si>
    <t>Doba výstavby:</t>
  </si>
  <si>
    <t>Začátek výstavby:</t>
  </si>
  <si>
    <t>Konec výstavby:</t>
  </si>
  <si>
    <t>Zpracováno dne:</t>
  </si>
  <si>
    <t>MJ</t>
  </si>
  <si>
    <t>soubor</t>
  </si>
  <si>
    <t>m2</t>
  </si>
  <si>
    <t>m</t>
  </si>
  <si>
    <t>t</t>
  </si>
  <si>
    <t>Množství</t>
  </si>
  <si>
    <t>Cena/MJ</t>
  </si>
  <si>
    <t>(Kč)</t>
  </si>
  <si>
    <t>Objednatel:</t>
  </si>
  <si>
    <t>Projektant:</t>
  </si>
  <si>
    <t>Zhotovitel:</t>
  </si>
  <si>
    <t>Zpracoval:</t>
  </si>
  <si>
    <t>Náklady (Kč)</t>
  </si>
  <si>
    <t>Dodávka</t>
  </si>
  <si>
    <t>Celkem:</t>
  </si>
  <si>
    <t>Statutární město Jihlava</t>
  </si>
  <si>
    <t> </t>
  </si>
  <si>
    <t>dle výběrového řízení</t>
  </si>
  <si>
    <t>Montáž</t>
  </si>
  <si>
    <t>Celkem</t>
  </si>
  <si>
    <t>Hmotnost (t)</t>
  </si>
  <si>
    <t>Jednot.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</si>
  <si>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</si>
  <si>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</si>
  <si>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</si>
  <si>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</si>
  <si>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</si>
  <si>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</si>
  <si>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</si>
  <si>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</si>
  <si>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</si>
  <si>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010VD_</t>
  </si>
  <si>
    <t>020VD_</t>
  </si>
  <si>
    <t>11_</t>
  </si>
  <si>
    <t>57_</t>
  </si>
  <si>
    <t>91_</t>
  </si>
  <si>
    <t>H22_</t>
  </si>
  <si>
    <t>S_</t>
  </si>
  <si>
    <t>0_</t>
  </si>
  <si>
    <t>1_</t>
  </si>
  <si>
    <t>5_</t>
  </si>
  <si>
    <t>9_</t>
  </si>
  <si>
    <t>_</t>
  </si>
  <si>
    <t>MAT</t>
  </si>
  <si>
    <t>WORK</t>
  </si>
  <si>
    <t>CELK</t>
  </si>
  <si>
    <t>ISWORK</t>
  </si>
  <si>
    <t>P</t>
  </si>
  <si>
    <t>GROUPCODE</t>
  </si>
  <si>
    <t>Stavební rozpočet - rekapitulace</t>
  </si>
  <si>
    <t>Zkrácený popis</t>
  </si>
  <si>
    <t>Náklady (Kč) - dodávka</t>
  </si>
  <si>
    <t>Náklady (Kč) - Montáž</t>
  </si>
  <si>
    <t>Náklady (Kč) - celkem</t>
  </si>
  <si>
    <t>Celková hmotnost (t)</t>
  </si>
  <si>
    <t>T</t>
  </si>
  <si>
    <t>Rozpočtové náklady v Kč</t>
  </si>
  <si>
    <t>A</t>
  </si>
  <si>
    <t>HSV</t>
  </si>
  <si>
    <t>PSV</t>
  </si>
  <si>
    <t>"M"</t>
  </si>
  <si>
    <t>Ostatní materiál</t>
  </si>
  <si>
    <t>Přesun hmot a sutí</t>
  </si>
  <si>
    <t>ZRN celkem</t>
  </si>
  <si>
    <t>Základ 0%</t>
  </si>
  <si>
    <t>Základ 15%</t>
  </si>
  <si>
    <t>Základ 21%</t>
  </si>
  <si>
    <t>Projektant</t>
  </si>
  <si>
    <t>Datum, razítko a podpis</t>
  </si>
  <si>
    <t>Základní rozpočtové náklady</t>
  </si>
  <si>
    <t>Dodávky</t>
  </si>
  <si>
    <t>Krycí list rozpočtu</t>
  </si>
  <si>
    <t>B</t>
  </si>
  <si>
    <t>Práce přesčas</t>
  </si>
  <si>
    <t>Bez pevné podl.</t>
  </si>
  <si>
    <t>Kulturní památka</t>
  </si>
  <si>
    <t>DN celkem</t>
  </si>
  <si>
    <t>DN celkem z obj.</t>
  </si>
  <si>
    <t>DPH 15%</t>
  </si>
  <si>
    <t>DPH 21%</t>
  </si>
  <si>
    <t>Objednatel</t>
  </si>
  <si>
    <t>Doplňkové náklady</t>
  </si>
  <si>
    <t>C</t>
  </si>
  <si>
    <t>Zařízení staveniště</t>
  </si>
  <si>
    <t>Mimostav. doprava</t>
  </si>
  <si>
    <t>Územní vlivy</t>
  </si>
  <si>
    <t>Provozní vlivy</t>
  </si>
  <si>
    <t>Ostatní</t>
  </si>
  <si>
    <t>NUS z rozpočtu</t>
  </si>
  <si>
    <t>NUS celkem</t>
  </si>
  <si>
    <t>NUS celkem z obj.</t>
  </si>
  <si>
    <t>ORN celkem</t>
  </si>
  <si>
    <t>ORN celkem z obj.</t>
  </si>
  <si>
    <t>Celkem bez DPH</t>
  </si>
  <si>
    <t>Celkem včetně DPH</t>
  </si>
  <si>
    <t>Zhotovitel</t>
  </si>
  <si>
    <t>IČ/DIČ:</t>
  </si>
  <si>
    <t>Položek:</t>
  </si>
  <si>
    <t>Datum:</t>
  </si>
  <si>
    <t>Náklady na umístění stavby (NUS)</t>
  </si>
  <si>
    <t>00286010/</t>
  </si>
  <si>
    <t>Ing. Bc. Karel Trojan</t>
  </si>
  <si>
    <t>trvale pružný asfaltový tmel</t>
  </si>
  <si>
    <t>Položka obsahuje nakládku R-materiálu a zametení (dočištění) frézovaných míst</t>
  </si>
  <si>
    <t>113151314R00</t>
  </si>
  <si>
    <t>Dopravně inženýrská opatření po dobu stavby vč. vypracování projektu DIO, prováděná v souladu s pokyny Policie ČR - dopravního inspektorátu, dle pokynů příslušného odboru dopravy a správce komunikace - Služby města Jihlavy a dle pokynů dalších příslušných orgánů._x000D_
Včetně veškerého přechodného dopravního značení, vč. instalace a zajištění servisu značení po celou dobu trvání stavby._x000D_
Zajištění prací pro "Stanovení přechodné úpravy silničního provozu na komunikacích dle §77 zákona č. 361/2000 Sb., O provozu na pozemních komunikacích."</t>
  </si>
  <si>
    <t>13</t>
  </si>
  <si>
    <t>89</t>
  </si>
  <si>
    <t>Ostatní konstrukce a práce na trubním vedení</t>
  </si>
  <si>
    <t>899331111R00</t>
  </si>
  <si>
    <t>kus</t>
  </si>
  <si>
    <t>89_</t>
  </si>
  <si>
    <t>8_</t>
  </si>
  <si>
    <t>podél frézovaných spár v asfaltu, ošetření trhlin v ložné vrstvě po odfrézování</t>
  </si>
  <si>
    <t>577142122R00</t>
  </si>
  <si>
    <t>Beton asfalt. ACL 16+ ložný, š. do 3 m, tl. 6 cm</t>
  </si>
  <si>
    <t>16</t>
  </si>
  <si>
    <t>17</t>
  </si>
  <si>
    <t>18</t>
  </si>
  <si>
    <t>14</t>
  </si>
  <si>
    <t>Výšková úprava vstupu do 20 cm, zvýšení poklopu uliční vpusti/revizní šachty kanalizace</t>
  </si>
  <si>
    <t>Výšková úprava vstupu do 20 cm, zvýšení poklopu vodovdního uzávěru</t>
  </si>
  <si>
    <t>SO 101</t>
  </si>
  <si>
    <t>0</t>
  </si>
  <si>
    <t>Z99999_</t>
  </si>
  <si>
    <t>SO 101_Z_</t>
  </si>
  <si>
    <t>SO 101_</t>
  </si>
  <si>
    <t>M</t>
  </si>
  <si>
    <t>59217010</t>
  </si>
  <si>
    <t>Obrubník silniční betonový 150x250x1000 mm</t>
  </si>
  <si>
    <t>979999997R00</t>
  </si>
  <si>
    <t>Poplatek za recyklaci směsi suti betonu, štěrku, živice</t>
  </si>
  <si>
    <t>28</t>
  </si>
  <si>
    <t>SO 101_9_</t>
  </si>
  <si>
    <t>29</t>
  </si>
  <si>
    <t>917862111R00</t>
  </si>
  <si>
    <t>Osazení stojat. obrub.bet. s opěrou,lože z C 16/20</t>
  </si>
  <si>
    <t>SO 101_1_</t>
  </si>
  <si>
    <t>12</t>
  </si>
  <si>
    <t>113106231R00</t>
  </si>
  <si>
    <t>SO 102</t>
  </si>
  <si>
    <t>SO 102_1_</t>
  </si>
  <si>
    <t>SO 102_</t>
  </si>
  <si>
    <t>113202111R00</t>
  </si>
  <si>
    <t>Vytrhání obrub obrubníků silničních</t>
  </si>
  <si>
    <t>Rozebrání dlažeb z betonové dlažby v kamenivu</t>
  </si>
  <si>
    <t xml:space="preserve">Pozn. doprava recyklátu na skládku objednatele do 10 km od místa provádění stavby </t>
  </si>
  <si>
    <t>21</t>
  </si>
  <si>
    <t>23</t>
  </si>
  <si>
    <t>24</t>
  </si>
  <si>
    <t>25</t>
  </si>
  <si>
    <t>27</t>
  </si>
  <si>
    <t>stávající chodník u zastávky "Dům Kultury"</t>
  </si>
  <si>
    <t>Rozebrání dlažeb z kamenné dlažby</t>
  </si>
  <si>
    <t>kamenný dvojřádek, položka obsahuje vyčištění a naložení kamenných kostek a odvoz na skládku objednatele</t>
  </si>
  <si>
    <t>stávající zastávkové obruby zastávky "Dům Kultury"</t>
  </si>
  <si>
    <t>stávající zastávkový pruh zastávky "Dům Kultury" položka obsahuje vyčištění a naložení kamenných kostek a odvoz na skládku objednatele</t>
  </si>
  <si>
    <t>113201011RA0</t>
  </si>
  <si>
    <t>Vytrhání obrubníků silničních - zastávkových</t>
  </si>
  <si>
    <t>113107630R00</t>
  </si>
  <si>
    <t>Odstranění podkladu nad 50 m2,kam.drcené tl.30 cm</t>
  </si>
  <si>
    <t>plocha zastávkového pruhu</t>
  </si>
  <si>
    <t>577132111R00</t>
  </si>
  <si>
    <t>577142122RT2</t>
  </si>
  <si>
    <t>Beton asfalt. ACL 16+ ložný, š.nad 3 m, tl. 6 cm</t>
  </si>
  <si>
    <t>58</t>
  </si>
  <si>
    <t>Kryty pozemních komunikací, letišť a ploch z betonu a ostatních hmot</t>
  </si>
  <si>
    <t>581230005R00</t>
  </si>
  <si>
    <t>Kryt dvouvrstvý CB komunikací skup.1 a 2 tl. 20 cm</t>
  </si>
  <si>
    <t>58_</t>
  </si>
  <si>
    <t>30</t>
  </si>
  <si>
    <t>596215021R00</t>
  </si>
  <si>
    <t>Kladení beton. zámkové dlažby tl. 6 cm do drtě tl. 4 cm</t>
  </si>
  <si>
    <t>917882111R00</t>
  </si>
  <si>
    <t>Osazení obrubníku bet. zastávkového, lože C 30/37 XF3</t>
  </si>
  <si>
    <t>Použít stávající obrubníky, vadné a chybějící kusy budou dodány ze skladu objednatele</t>
  </si>
  <si>
    <t>32</t>
  </si>
  <si>
    <t>597101113RT1</t>
  </si>
  <si>
    <t>Montáž odvodňovacího žlabu</t>
  </si>
  <si>
    <t>kpl</t>
  </si>
  <si>
    <t>Uložení vybouraných betonových obrub, betonu a podkladu z místa zastávkového pruhu</t>
  </si>
  <si>
    <t>15</t>
  </si>
  <si>
    <t>31</t>
  </si>
  <si>
    <t>33</t>
  </si>
  <si>
    <t>34</t>
  </si>
  <si>
    <t>35</t>
  </si>
  <si>
    <t>36</t>
  </si>
  <si>
    <t>Oprava povrchu komunikace nám. Svobody, Tolstého</t>
  </si>
  <si>
    <t>06.03.2025</t>
  </si>
  <si>
    <t>Frézování živič.krytu nad 500 m2, s překážkami, tl.4 cm</t>
  </si>
  <si>
    <t>Asfaltový koberec mastixový SMA 11 (AKMS) "SMA 11 s PMB 45/80-65" s rozprostředním a se zhutněním v pruhu šířky přes 3 m, po zhutněnní tl. 40 mm</t>
  </si>
  <si>
    <t xml:space="preserve">ACO DRAIN RD150V - čelní stěna typ 0.0, přírodní zbarvení </t>
  </si>
  <si>
    <t xml:space="preserve">ACO DRAIN RD150V - vpust vrchní díl 0.0 F900, přírodní </t>
  </si>
  <si>
    <t xml:space="preserve">ACO DRAIN RD150/200V - vpust spodní díl DN150 F900, přírodní </t>
  </si>
  <si>
    <t xml:space="preserve">ACO Drain NW150/200 - kalový koš z PP </t>
  </si>
  <si>
    <t xml:space="preserve">ACO DRAIN RD150V - revizní díl 0.1, 66cm, F900, přírodní </t>
  </si>
  <si>
    <t xml:space="preserve">ACO DRAIN RD100V - žlab 100cm, F900, přírodní </t>
  </si>
  <si>
    <t>37</t>
  </si>
  <si>
    <t>38</t>
  </si>
  <si>
    <t>39</t>
  </si>
  <si>
    <t>Předláždění chodníku a nástupiště u zastávky Dům Kultury, použít původní dlažbu, chybějící dlažba bude dodána ze skladu objednatele</t>
  </si>
  <si>
    <t xml:space="preserve">včetně beton. lože C 30/37 XF4 a zaústění do kanalizace
</t>
  </si>
  <si>
    <t>45</t>
  </si>
  <si>
    <t>564871111RT4</t>
  </si>
  <si>
    <t>567122114R00</t>
  </si>
  <si>
    <t>568111111R00</t>
  </si>
  <si>
    <t>568211111R00</t>
  </si>
  <si>
    <t>919716111R00</t>
  </si>
  <si>
    <t>69310271</t>
  </si>
  <si>
    <t>69365044</t>
  </si>
  <si>
    <t>štěrkodrť frakce 0-63 mm</t>
  </si>
  <si>
    <t>Podklad ze štěrkodrti po zhutnění tloušťky 25 cm</t>
  </si>
  <si>
    <t>Podklad z kameniva zpev. cementem SC C8/10 tl.15 cm</t>
  </si>
  <si>
    <t>frakce  0-32</t>
  </si>
  <si>
    <t>Zřízení vrstvy z geotextilie skl.do 1:5, š.do 3 m</t>
  </si>
  <si>
    <t>Položení geomříže skl.do 1:5, š. do 3 m</t>
  </si>
  <si>
    <t>Výztuž cementobet. krytu sítí KARI</t>
  </si>
  <si>
    <t>56_</t>
  </si>
  <si>
    <t>Z_</t>
  </si>
  <si>
    <t>beton C 30/37, zastávkový pruh zastávky, Položka obsahuje položení dvouvrstvého cementobetonového krytu, zavibrování kluzných trnů a kotev, řezání a výplň příčných a podélných spár a ochranný  parotěsný postřik</t>
  </si>
  <si>
    <t>74,0*4,44/1000*1,15   </t>
  </si>
  <si>
    <t xml:space="preserve">Geomříže obousměrné silniční </t>
  </si>
  <si>
    <t xml:space="preserve">Geotextilie netkaná silniční 500g </t>
  </si>
  <si>
    <t>Kladení kamenné dlažby 10x10 cm do betonu</t>
  </si>
  <si>
    <t>Předláždění stávajícího kamenného dvojřádku v místech poškození</t>
  </si>
  <si>
    <t>19</t>
  </si>
  <si>
    <t>20</t>
  </si>
  <si>
    <t>22</t>
  </si>
  <si>
    <t>40</t>
  </si>
  <si>
    <t>41</t>
  </si>
  <si>
    <t>42</t>
  </si>
  <si>
    <t>43</t>
  </si>
  <si>
    <t>44</t>
  </si>
  <si>
    <t>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</si>
</sst>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 x14ac:knownFonts="1">
    <font>
      <sz val="10"/>
      <name val="Arial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56"/>
      <name val="Arial"/>
      <family val="2"/>
      <charset val="238"/>
    </font>
    <font>
      <sz val="10"/>
      <color indexed="61"/>
      <name val="Arial"/>
      <family val="2"/>
      <charset val="238"/>
    </font>
    <font>
      <i/>
      <sz val="8"/>
      <color indexed="8"/>
      <name val="Arial"/>
      <family val="2"/>
      <charset val="238"/>
    </font>
    <font>
      <b/>
      <sz val="10"/>
      <color indexed="56"/>
      <name val="Arial"/>
      <family val="2"/>
      <charset val="238"/>
    </font>
    <font>
      <i/>
      <sz val="10"/>
      <color indexed="60"/>
      <name val="Arial"/>
      <family val="2"/>
      <charset val="238"/>
    </font>
    <font>
      <i/>
      <sz val="10"/>
      <color indexed="58"/>
      <name val="Arial"/>
      <family val="2"/>
      <charset val="238"/>
    </font>
    <font>
      <i/>
      <sz val="10"/>
      <color indexed="59"/>
      <name val="Arial"/>
      <family val="2"/>
      <charset val="238"/>
    </font>
    <font>
      <i/>
      <sz val="10"/>
      <color indexed="63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2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indexed="56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61"/>
      <name val="Arial"/>
      <family val="2"/>
      <charset val="238"/>
    </font>
    <font>
      <sz val="11"/>
      <color rgb="FF9C0006"/>
      <name val="Calibri"/>
      <family val="2"/>
      <charset val="238"/>
      <scheme val="minor"/>
    </font>
    <font>
      <sz val="10"/>
      <color indexed="56"/>
      <name val="Arial"/>
      <family val="2"/>
      <charset val="238"/>
    </font>
    <font>
      <b/>
      <sz val="10"/>
      <color indexed="56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62"/>
      <name val="Arial"/>
      <family val="2"/>
      <charset val="238"/>
    </font>
    <font>
      <sz val="10"/>
      <color indexed="61"/>
      <name val="Arial"/>
      <family val="2"/>
      <charset val="238"/>
    </font>
    <font>
      <sz val="10"/>
      <color indexed="62"/>
      <name val="Arial"/>
      <family val="2"/>
      <charset val="238"/>
    </font>
    <font>
      <i/>
      <sz val="10"/>
      <color indexed="63"/>
      <name val="Arial"/>
      <family val="2"/>
      <charset val="238"/>
    </font>
    <font>
      <i/>
      <sz val="10"/>
      <color indexed="60"/>
      <name val="Arial"/>
      <family val="2"/>
      <charset val="238"/>
    </font>
    <font>
      <b/>
      <sz val="9"/>
      <color indexed="8"/>
      <name val="Arial"/>
      <family val="2"/>
      <charset val="238"/>
    </font>
    <font>
      <i/>
      <sz val="10"/>
      <color indexed="61"/>
      <name val="Arial"/>
      <family val="2"/>
      <charset val="238"/>
    </font>
    <font>
      <b/>
      <sz val="7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sz val="10"/>
      <color indexed="59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7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7CE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9" fontId="34" fillId="0" borderId="22" xfId="0" applyNumberFormat="1" applyFont="1" applyFill="1" applyBorder="1" applyAlignment="1" applyProtection="1">
      <alignment horizontal="left" vertical="center"/>
    </xf>
    <xf numFmtId="0" fontId="22" fillId="6" borderId="0" applyNumberFormat="0" applyBorder="0" applyAlignment="0" applyProtection="0"/>
    <xf numFmtId="0" fontId="1" fillId="0" borderId="0"/>
    <xf numFmtId="0" fontId="1" fillId="0" borderId="0"/>
  </cellStyleXfs>
  <cellXfs count="271">
    <xf numFmtId="0" fontId="2" fillId="0" borderId="0" xfId="0" applyFont="1" applyAlignment="1">
      <alignment vertical="center"/>
    </xf>
    <xf numFmtId="49" fontId="4" fillId="0" borderId="5" xfId="0" applyNumberFormat="1" applyFont="1" applyFill="1" applyBorder="1" applyAlignment="1" applyProtection="1">
      <alignment horizontal="left" vertical="center"/>
    </xf>
    <xf numFmtId="49" fontId="2" fillId="0" borderId="6" xfId="0" applyNumberFormat="1" applyFont="1" applyFill="1" applyBorder="1" applyAlignment="1" applyProtection="1">
      <alignment horizontal="left" vertical="center"/>
    </xf>
    <xf numFmtId="49" fontId="5" fillId="2" borderId="7" xfId="0" applyNumberFormat="1" applyFont="1" applyFill="1" applyBorder="1" applyAlignment="1" applyProtection="1">
      <alignment horizontal="left" vertical="center"/>
    </xf>
    <xf numFmtId="49" fontId="6" fillId="0" borderId="3" xfId="0" applyNumberFormat="1" applyFont="1" applyFill="1" applyBorder="1" applyAlignment="1" applyProtection="1">
      <alignment horizontal="left" vertical="center"/>
    </xf>
    <xf numFmtId="0" fontId="2" fillId="0" borderId="3" xfId="0" applyNumberFormat="1" applyFont="1" applyFill="1" applyBorder="1" applyAlignment="1" applyProtection="1">
      <alignment vertical="center"/>
    </xf>
    <xf numFmtId="49" fontId="5" fillId="2" borderId="3" xfId="0" applyNumberFormat="1" applyFont="1" applyFill="1" applyBorder="1" applyAlignment="1" applyProtection="1">
      <alignment horizontal="left" vertical="center"/>
    </xf>
    <xf numFmtId="0" fontId="2" fillId="0" borderId="8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>
      <alignment vertical="center"/>
    </xf>
    <xf numFmtId="49" fontId="7" fillId="0" borderId="0" xfId="0" applyNumberFormat="1" applyFont="1" applyFill="1" applyBorder="1" applyAlignment="1" applyProtection="1">
      <alignment horizontal="left" vertical="center"/>
    </xf>
    <xf numFmtId="49" fontId="4" fillId="0" borderId="11" xfId="0" applyNumberFormat="1" applyFont="1" applyFill="1" applyBorder="1" applyAlignment="1" applyProtection="1">
      <alignment horizontal="left" vertical="center"/>
    </xf>
    <xf numFmtId="49" fontId="2" fillId="0" borderId="12" xfId="0" applyNumberFormat="1" applyFont="1" applyFill="1" applyBorder="1" applyAlignment="1" applyProtection="1">
      <alignment horizontal="left" vertical="center"/>
    </xf>
    <xf numFmtId="49" fontId="8" fillId="2" borderId="13" xfId="0" applyNumberFormat="1" applyFont="1" applyFill="1" applyBorder="1" applyAlignment="1" applyProtection="1">
      <alignment horizontal="left" vertical="center"/>
    </xf>
    <xf numFmtId="49" fontId="6" fillId="0" borderId="0" xfId="0" applyNumberFormat="1" applyFont="1" applyFill="1" applyBorder="1" applyAlignment="1" applyProtection="1">
      <alignment horizontal="left" vertical="center"/>
    </xf>
    <xf numFmtId="49" fontId="8" fillId="2" borderId="0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horizontal="right" vertical="top"/>
    </xf>
    <xf numFmtId="49" fontId="10" fillId="0" borderId="0" xfId="0" applyNumberFormat="1" applyFont="1" applyFill="1" applyBorder="1" applyAlignment="1" applyProtection="1">
      <alignment horizontal="right" vertical="top"/>
    </xf>
    <xf numFmtId="49" fontId="4" fillId="0" borderId="12" xfId="0" applyNumberFormat="1" applyFont="1" applyFill="1" applyBorder="1" applyAlignment="1" applyProtection="1">
      <alignment horizontal="left" vertical="center"/>
    </xf>
    <xf numFmtId="49" fontId="12" fillId="0" borderId="0" xfId="0" applyNumberFormat="1" applyFont="1" applyFill="1" applyBorder="1" applyAlignment="1" applyProtection="1">
      <alignment horizontal="left" vertical="center"/>
    </xf>
    <xf numFmtId="49" fontId="2" fillId="0" borderId="0" xfId="0" applyNumberFormat="1" applyFont="1" applyFill="1" applyBorder="1" applyAlignment="1" applyProtection="1">
      <alignment horizontal="left" vertical="center"/>
    </xf>
    <xf numFmtId="49" fontId="5" fillId="2" borderId="13" xfId="0" applyNumberFormat="1" applyFont="1" applyFill="1" applyBorder="1" applyAlignment="1" applyProtection="1">
      <alignment horizontal="left" vertical="center"/>
    </xf>
    <xf numFmtId="49" fontId="5" fillId="2" borderId="0" xfId="0" applyNumberFormat="1" applyFont="1" applyFill="1" applyBorder="1" applyAlignment="1" applyProtection="1">
      <alignment horizontal="left" vertical="center"/>
    </xf>
    <xf numFmtId="4" fontId="6" fillId="0" borderId="0" xfId="0" applyNumberFormat="1" applyFont="1" applyFill="1" applyBorder="1" applyAlignment="1" applyProtection="1">
      <alignment horizontal="right" vertical="center"/>
    </xf>
    <xf numFmtId="4" fontId="12" fillId="0" borderId="0" xfId="0" applyNumberFormat="1" applyFont="1" applyFill="1" applyBorder="1" applyAlignment="1" applyProtection="1">
      <alignment horizontal="right" vertical="center"/>
    </xf>
    <xf numFmtId="49" fontId="4" fillId="0" borderId="14" xfId="0" applyNumberFormat="1" applyFont="1" applyFill="1" applyBorder="1" applyAlignment="1" applyProtection="1">
      <alignment horizontal="center" vertical="center"/>
    </xf>
    <xf numFmtId="49" fontId="4" fillId="0" borderId="16" xfId="0" applyNumberFormat="1" applyFont="1" applyFill="1" applyBorder="1" applyAlignment="1" applyProtection="1">
      <alignment horizontal="center" vertical="center"/>
    </xf>
    <xf numFmtId="49" fontId="4" fillId="0" borderId="18" xfId="0" applyNumberFormat="1" applyFont="1" applyFill="1" applyBorder="1" applyAlignment="1" applyProtection="1">
      <alignment horizontal="center" vertical="center"/>
    </xf>
    <xf numFmtId="49" fontId="4" fillId="0" borderId="20" xfId="0" applyNumberFormat="1" applyFont="1" applyFill="1" applyBorder="1" applyAlignment="1" applyProtection="1">
      <alignment horizontal="center" vertical="center"/>
    </xf>
    <xf numFmtId="49" fontId="8" fillId="2" borderId="13" xfId="0" applyNumberFormat="1" applyFont="1" applyFill="1" applyBorder="1" applyAlignment="1" applyProtection="1">
      <alignment horizontal="right" vertical="center"/>
    </xf>
    <xf numFmtId="49" fontId="8" fillId="2" borderId="0" xfId="0" applyNumberFormat="1" applyFont="1" applyFill="1" applyBorder="1" applyAlignment="1" applyProtection="1">
      <alignment horizontal="right"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6" xfId="0" applyNumberFormat="1" applyFont="1" applyFill="1" applyBorder="1" applyAlignment="1" applyProtection="1">
      <alignment vertical="center"/>
    </xf>
    <xf numFmtId="4" fontId="2" fillId="0" borderId="0" xfId="0" applyNumberFormat="1" applyFont="1" applyFill="1" applyBorder="1" applyAlignment="1" applyProtection="1">
      <alignment horizontal="right" vertical="center"/>
    </xf>
    <xf numFmtId="49" fontId="6" fillId="0" borderId="0" xfId="0" applyNumberFormat="1" applyFont="1" applyFill="1" applyBorder="1" applyAlignment="1" applyProtection="1">
      <alignment horizontal="right" vertical="center"/>
    </xf>
    <xf numFmtId="49" fontId="2" fillId="0" borderId="0" xfId="0" applyNumberFormat="1" applyFont="1" applyFill="1" applyBorder="1" applyAlignment="1" applyProtection="1">
      <alignment horizontal="right" vertical="center"/>
    </xf>
    <xf numFmtId="49" fontId="4" fillId="0" borderId="0" xfId="0" applyNumberFormat="1" applyFont="1" applyFill="1" applyBorder="1" applyAlignment="1" applyProtection="1">
      <alignment horizontal="right" vertical="center"/>
    </xf>
    <xf numFmtId="4" fontId="8" fillId="2" borderId="13" xfId="0" applyNumberFormat="1" applyFont="1" applyFill="1" applyBorder="1" applyAlignment="1" applyProtection="1">
      <alignment horizontal="right" vertical="center"/>
    </xf>
    <xf numFmtId="4" fontId="8" fillId="2" borderId="0" xfId="0" applyNumberFormat="1" applyFont="1" applyFill="1" applyBorder="1" applyAlignment="1" applyProtection="1">
      <alignment horizontal="right" vertical="center"/>
    </xf>
    <xf numFmtId="4" fontId="4" fillId="0" borderId="9" xfId="0" applyNumberFormat="1" applyFont="1" applyFill="1" applyBorder="1" applyAlignment="1" applyProtection="1">
      <alignment horizontal="right" vertical="center"/>
    </xf>
    <xf numFmtId="49" fontId="4" fillId="0" borderId="27" xfId="0" applyNumberFormat="1" applyFont="1" applyFill="1" applyBorder="1" applyAlignment="1" applyProtection="1">
      <alignment horizontal="left" vertical="center"/>
    </xf>
    <xf numFmtId="49" fontId="2" fillId="0" borderId="7" xfId="0" applyNumberFormat="1" applyFont="1" applyFill="1" applyBorder="1" applyAlignment="1" applyProtection="1">
      <alignment horizontal="left" vertical="center"/>
    </xf>
    <xf numFmtId="49" fontId="2" fillId="0" borderId="3" xfId="0" applyNumberFormat="1" applyFont="1" applyFill="1" applyBorder="1" applyAlignment="1" applyProtection="1">
      <alignment horizontal="left" vertical="center"/>
    </xf>
    <xf numFmtId="49" fontId="2" fillId="0" borderId="8" xfId="0" applyNumberFormat="1" applyFont="1" applyFill="1" applyBorder="1" applyAlignment="1" applyProtection="1">
      <alignment horizontal="left" vertical="center"/>
    </xf>
    <xf numFmtId="49" fontId="4" fillId="0" borderId="28" xfId="0" applyNumberFormat="1" applyFont="1" applyFill="1" applyBorder="1" applyAlignment="1" applyProtection="1">
      <alignment horizontal="left" vertical="center"/>
    </xf>
    <xf numFmtId="49" fontId="2" fillId="0" borderId="13" xfId="0" applyNumberFormat="1" applyFont="1" applyFill="1" applyBorder="1" applyAlignment="1" applyProtection="1">
      <alignment horizontal="left" vertical="center"/>
    </xf>
    <xf numFmtId="49" fontId="2" fillId="0" borderId="1" xfId="0" applyNumberFormat="1" applyFont="1" applyFill="1" applyBorder="1" applyAlignment="1" applyProtection="1">
      <alignment horizontal="left" vertical="center"/>
    </xf>
    <xf numFmtId="49" fontId="4" fillId="0" borderId="29" xfId="0" applyNumberFormat="1" applyFont="1" applyFill="1" applyBorder="1" applyAlignment="1" applyProtection="1">
      <alignment horizontal="left" vertical="center"/>
    </xf>
    <xf numFmtId="49" fontId="4" fillId="0" borderId="29" xfId="0" applyNumberFormat="1" applyFont="1" applyFill="1" applyBorder="1" applyAlignment="1" applyProtection="1">
      <alignment horizontal="center" vertical="center"/>
    </xf>
    <xf numFmtId="49" fontId="4" fillId="0" borderId="30" xfId="0" applyNumberFormat="1" applyFont="1" applyFill="1" applyBorder="1" applyAlignment="1" applyProtection="1">
      <alignment horizontal="center" vertical="center"/>
    </xf>
    <xf numFmtId="4" fontId="2" fillId="0" borderId="3" xfId="0" applyNumberFormat="1" applyFont="1" applyFill="1" applyBorder="1" applyAlignment="1" applyProtection="1">
      <alignment horizontal="right" vertical="center"/>
    </xf>
    <xf numFmtId="4" fontId="2" fillId="0" borderId="13" xfId="0" applyNumberFormat="1" applyFont="1" applyFill="1" applyBorder="1" applyAlignment="1" applyProtection="1">
      <alignment horizontal="right" vertical="center"/>
    </xf>
    <xf numFmtId="4" fontId="2" fillId="0" borderId="1" xfId="0" applyNumberFormat="1" applyFont="1" applyFill="1" applyBorder="1" applyAlignment="1" applyProtection="1">
      <alignment horizontal="right" vertical="center"/>
    </xf>
    <xf numFmtId="4" fontId="2" fillId="0" borderId="24" xfId="0" applyNumberFormat="1" applyFont="1" applyFill="1" applyBorder="1" applyAlignment="1" applyProtection="1">
      <alignment horizontal="right" vertical="center"/>
    </xf>
    <xf numFmtId="4" fontId="2" fillId="0" borderId="22" xfId="0" applyNumberFormat="1" applyFont="1" applyFill="1" applyBorder="1" applyAlignment="1" applyProtection="1">
      <alignment horizontal="right" vertical="center"/>
    </xf>
    <xf numFmtId="4" fontId="2" fillId="0" borderId="25" xfId="0" applyNumberFormat="1" applyFont="1" applyFill="1" applyBorder="1" applyAlignment="1" applyProtection="1">
      <alignment horizontal="right" vertical="center"/>
    </xf>
    <xf numFmtId="49" fontId="14" fillId="3" borderId="35" xfId="0" applyNumberFormat="1" applyFont="1" applyFill="1" applyBorder="1" applyAlignment="1" applyProtection="1">
      <alignment horizontal="center" vertical="center"/>
    </xf>
    <xf numFmtId="49" fontId="15" fillId="0" borderId="36" xfId="0" applyNumberFormat="1" applyFont="1" applyFill="1" applyBorder="1" applyAlignment="1" applyProtection="1">
      <alignment horizontal="left" vertical="center"/>
    </xf>
    <xf numFmtId="49" fontId="15" fillId="0" borderId="37" xfId="0" applyNumberFormat="1" applyFont="1" applyFill="1" applyBorder="1" applyAlignment="1" applyProtection="1">
      <alignment horizontal="left" vertical="center"/>
    </xf>
    <xf numFmtId="0" fontId="2" fillId="0" borderId="39" xfId="0" applyNumberFormat="1" applyFont="1" applyFill="1" applyBorder="1" applyAlignment="1" applyProtection="1">
      <alignment vertical="center"/>
    </xf>
    <xf numFmtId="49" fontId="7" fillId="0" borderId="13" xfId="0" applyNumberFormat="1" applyFont="1" applyFill="1" applyBorder="1" applyAlignment="1" applyProtection="1">
      <alignment horizontal="left" vertical="center"/>
    </xf>
    <xf numFmtId="49" fontId="16" fillId="0" borderId="35" xfId="0" applyNumberFormat="1" applyFont="1" applyFill="1" applyBorder="1" applyAlignment="1" applyProtection="1">
      <alignment horizontal="left" vertical="center"/>
    </xf>
    <xf numFmtId="0" fontId="2" fillId="0" borderId="13" xfId="0" applyNumberFormat="1" applyFont="1" applyFill="1" applyBorder="1" applyAlignment="1" applyProtection="1">
      <alignment vertical="center"/>
    </xf>
    <xf numFmtId="0" fontId="2" fillId="0" borderId="21" xfId="0" applyNumberFormat="1" applyFont="1" applyFill="1" applyBorder="1" applyAlignment="1" applyProtection="1">
      <alignment vertical="center"/>
    </xf>
    <xf numFmtId="4" fontId="16" fillId="0" borderId="35" xfId="0" applyNumberFormat="1" applyFont="1" applyFill="1" applyBorder="1" applyAlignment="1" applyProtection="1">
      <alignment horizontal="right" vertical="center"/>
    </xf>
    <xf numFmtId="49" fontId="16" fillId="0" borderId="35" xfId="0" applyNumberFormat="1" applyFont="1" applyFill="1" applyBorder="1" applyAlignment="1" applyProtection="1">
      <alignment horizontal="right" vertical="center"/>
    </xf>
    <xf numFmtId="4" fontId="16" fillId="0" borderId="18" xfId="0" applyNumberFormat="1" applyFont="1" applyFill="1" applyBorder="1" applyAlignment="1" applyProtection="1">
      <alignment horizontal="right" vertical="center"/>
    </xf>
    <xf numFmtId="0" fontId="2" fillId="0" borderId="24" xfId="0" applyNumberFormat="1" applyFont="1" applyFill="1" applyBorder="1" applyAlignment="1" applyProtection="1">
      <alignment vertical="center"/>
    </xf>
    <xf numFmtId="4" fontId="15" fillId="3" borderId="4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/>
    <xf numFmtId="49" fontId="2" fillId="4" borderId="43" xfId="0" applyNumberFormat="1" applyFont="1" applyFill="1" applyBorder="1" applyAlignment="1" applyProtection="1">
      <alignment horizontal="left" vertical="center"/>
    </xf>
    <xf numFmtId="4" fontId="2" fillId="4" borderId="43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vertical="center"/>
    </xf>
    <xf numFmtId="49" fontId="6" fillId="5" borderId="44" xfId="0" applyNumberFormat="1" applyFont="1" applyFill="1" applyBorder="1" applyAlignment="1" applyProtection="1">
      <alignment horizontal="left" vertical="center"/>
    </xf>
    <xf numFmtId="0" fontId="2" fillId="5" borderId="43" xfId="0" applyNumberFormat="1" applyFont="1" applyFill="1" applyBorder="1" applyAlignment="1" applyProtection="1">
      <alignment vertical="center"/>
    </xf>
    <xf numFmtId="0" fontId="1" fillId="5" borderId="43" xfId="1" applyNumberFormat="1" applyFont="1" applyFill="1" applyBorder="1" applyAlignment="1" applyProtection="1"/>
    <xf numFmtId="49" fontId="12" fillId="5" borderId="43" xfId="0" applyNumberFormat="1" applyFont="1" applyFill="1" applyBorder="1" applyAlignment="1" applyProtection="1">
      <alignment horizontal="left" vertical="center"/>
    </xf>
    <xf numFmtId="4" fontId="6" fillId="5" borderId="44" xfId="0" applyNumberFormat="1" applyFont="1" applyFill="1" applyBorder="1" applyAlignment="1" applyProtection="1">
      <alignment horizontal="right" vertical="center"/>
    </xf>
    <xf numFmtId="4" fontId="12" fillId="5" borderId="43" xfId="0" applyNumberFormat="1" applyFont="1" applyFill="1" applyBorder="1" applyAlignment="1" applyProtection="1">
      <alignment horizontal="right" vertical="center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2" fillId="0" borderId="0" xfId="0" applyFont="1" applyAlignment="1">
      <alignment vertical="center"/>
    </xf>
    <xf numFmtId="49" fontId="9" fillId="0" borderId="0" xfId="0" applyNumberFormat="1" applyFont="1" applyFill="1" applyBorder="1" applyAlignment="1" applyProtection="1">
      <alignment horizontal="right" vertical="top"/>
    </xf>
    <xf numFmtId="4" fontId="6" fillId="0" borderId="0" xfId="0" applyNumberFormat="1" applyFont="1" applyFill="1" applyBorder="1" applyAlignment="1" applyProtection="1">
      <alignment horizontal="right" vertical="center"/>
    </xf>
    <xf numFmtId="49" fontId="4" fillId="0" borderId="9" xfId="0" applyNumberFormat="1" applyFont="1" applyFill="1" applyBorder="1" applyAlignment="1" applyProtection="1">
      <alignment horizontal="left" vertical="center"/>
    </xf>
    <xf numFmtId="4" fontId="2" fillId="0" borderId="0" xfId="0" applyNumberFormat="1" applyFont="1" applyAlignment="1">
      <alignment vertical="center"/>
    </xf>
    <xf numFmtId="49" fontId="20" fillId="4" borderId="43" xfId="0" applyNumberFormat="1" applyFont="1" applyFill="1" applyBorder="1" applyAlignment="1" applyProtection="1">
      <alignment horizontal="left" vertical="center"/>
    </xf>
    <xf numFmtId="49" fontId="21" fillId="0" borderId="3" xfId="0" applyNumberFormat="1" applyFont="1" applyFill="1" applyBorder="1" applyAlignment="1" applyProtection="1">
      <alignment horizontal="left" vertical="center"/>
    </xf>
    <xf numFmtId="49" fontId="20" fillId="0" borderId="3" xfId="0" applyNumberFormat="1" applyFont="1" applyFill="1" applyBorder="1" applyAlignment="1" applyProtection="1">
      <alignment horizontal="left" vertical="center"/>
    </xf>
    <xf numFmtId="49" fontId="20" fillId="0" borderId="0" xfId="0" applyNumberFormat="1" applyFont="1" applyFill="1" applyBorder="1" applyAlignment="1" applyProtection="1">
      <alignment horizontal="left" vertical="center"/>
    </xf>
    <xf numFmtId="49" fontId="19" fillId="2" borderId="0" xfId="0" applyNumberFormat="1" applyFont="1" applyFill="1" applyBorder="1" applyAlignment="1" applyProtection="1">
      <alignment horizontal="left" vertical="center"/>
    </xf>
    <xf numFmtId="4" fontId="18" fillId="0" borderId="9" xfId="0" applyNumberFormat="1" applyFont="1" applyFill="1" applyBorder="1" applyAlignment="1" applyProtection="1">
      <alignment horizontal="right" vertical="center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49" fontId="2" fillId="0" borderId="0" xfId="0" applyNumberFormat="1" applyFont="1" applyFill="1" applyBorder="1" applyAlignment="1" applyProtection="1">
      <alignment horizontal="left" vertical="center"/>
    </xf>
    <xf numFmtId="49" fontId="5" fillId="0" borderId="0" xfId="0" applyNumberFormat="1" applyFont="1" applyFill="1" applyBorder="1" applyAlignment="1" applyProtection="1">
      <alignment horizontal="left" vertical="center"/>
    </xf>
    <xf numFmtId="49" fontId="5" fillId="0" borderId="0" xfId="3" applyNumberFormat="1" applyFont="1" applyFill="1" applyBorder="1" applyAlignment="1" applyProtection="1">
      <alignment horizontal="left" vertical="center"/>
    </xf>
    <xf numFmtId="4" fontId="6" fillId="0" borderId="22" xfId="0" applyNumberFormat="1" applyFont="1" applyFill="1" applyBorder="1" applyAlignment="1" applyProtection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4" fontId="8" fillId="2" borderId="22" xfId="0" applyNumberFormat="1" applyFont="1" applyFill="1" applyBorder="1" applyAlignment="1" applyProtection="1">
      <alignment horizontal="right" vertical="center"/>
    </xf>
    <xf numFmtId="0" fontId="11" fillId="0" borderId="22" xfId="0" applyNumberFormat="1" applyFont="1" applyFill="1" applyBorder="1" applyAlignment="1" applyProtection="1">
      <alignment horizontal="left" vertical="center"/>
    </xf>
    <xf numFmtId="49" fontId="4" fillId="0" borderId="45" xfId="0" applyNumberFormat="1" applyFont="1" applyFill="1" applyBorder="1" applyAlignment="1" applyProtection="1">
      <alignment horizontal="left" vertical="center"/>
    </xf>
    <xf numFmtId="49" fontId="4" fillId="0" borderId="45" xfId="0" applyNumberFormat="1" applyFont="1" applyFill="1" applyBorder="1" applyAlignment="1" applyProtection="1">
      <alignment horizontal="center" vertical="center"/>
    </xf>
    <xf numFmtId="49" fontId="4" fillId="0" borderId="46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left" vertical="center"/>
    </xf>
    <xf numFmtId="2" fontId="8" fillId="2" borderId="0" xfId="0" applyNumberFormat="1" applyFont="1" applyFill="1" applyBorder="1" applyAlignment="1" applyProtection="1">
      <alignment horizontal="right" vertical="center"/>
    </xf>
    <xf numFmtId="2" fontId="8" fillId="2" borderId="0" xfId="0" applyNumberFormat="1" applyFont="1" applyFill="1" applyBorder="1" applyAlignment="1" applyProtection="1">
      <alignment horizontal="left" vertical="center"/>
    </xf>
    <xf numFmtId="49" fontId="1" fillId="0" borderId="0" xfId="0" applyNumberFormat="1" applyFont="1" applyFill="1" applyBorder="1" applyAlignment="1" applyProtection="1">
      <alignment horizontal="left" vertical="center"/>
    </xf>
    <xf numFmtId="49" fontId="1" fillId="0" borderId="0" xfId="0" applyNumberFormat="1" applyFont="1" applyFill="1" applyBorder="1" applyAlignment="1" applyProtection="1">
      <alignment horizontal="right" vertical="center"/>
    </xf>
    <xf numFmtId="2" fontId="1" fillId="0" borderId="0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horizontal="center" vertical="center"/>
    </xf>
    <xf numFmtId="4" fontId="1" fillId="0" borderId="0" xfId="0" applyNumberFormat="1" applyFont="1" applyFill="1" applyBorder="1" applyAlignment="1" applyProtection="1">
      <alignment horizontal="right" vertical="center"/>
    </xf>
    <xf numFmtId="49" fontId="6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9" fillId="0" borderId="0" xfId="0" applyNumberFormat="1" applyFont="1" applyFill="1" applyBorder="1" applyAlignment="1" applyProtection="1">
      <alignment horizontal="left" vertical="top"/>
    </xf>
    <xf numFmtId="0" fontId="9" fillId="0" borderId="22" xfId="0" applyNumberFormat="1" applyFont="1" applyFill="1" applyBorder="1" applyAlignment="1" applyProtection="1">
      <alignment horizontal="left" vertical="top"/>
    </xf>
    <xf numFmtId="0" fontId="11" fillId="0" borderId="0" xfId="0" applyNumberFormat="1" applyFont="1" applyFill="1" applyBorder="1" applyAlignment="1" applyProtection="1">
      <alignment horizontal="left" vertical="center"/>
    </xf>
    <xf numFmtId="49" fontId="2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left" vertical="center"/>
    </xf>
    <xf numFmtId="49" fontId="23" fillId="2" borderId="3" xfId="0" applyNumberFormat="1" applyFont="1" applyFill="1" applyBorder="1" applyAlignment="1" applyProtection="1">
      <alignment horizontal="left" vertical="center"/>
    </xf>
    <xf numFmtId="49" fontId="24" fillId="2" borderId="0" xfId="0" applyNumberFormat="1" applyFont="1" applyFill="1" applyBorder="1" applyAlignment="1" applyProtection="1">
      <alignment horizontal="left" vertical="center"/>
    </xf>
    <xf numFmtId="49" fontId="23" fillId="2" borderId="0" xfId="0" applyNumberFormat="1" applyFont="1" applyFill="1" applyBorder="1" applyAlignment="1" applyProtection="1">
      <alignment horizontal="left" vertical="center"/>
    </xf>
    <xf numFmtId="4" fontId="24" fillId="2" borderId="0" xfId="0" applyNumberFormat="1" applyFont="1" applyFill="1" applyBorder="1" applyAlignment="1" applyProtection="1">
      <alignment horizontal="right" vertical="center"/>
    </xf>
    <xf numFmtId="49" fontId="24" fillId="2" borderId="0" xfId="0" applyNumberFormat="1" applyFont="1" applyFill="1" applyBorder="1" applyAlignment="1" applyProtection="1">
      <alignment horizontal="right" vertical="center"/>
    </xf>
    <xf numFmtId="0" fontId="25" fillId="0" borderId="3" xfId="0" applyNumberFormat="1" applyFont="1" applyFill="1" applyBorder="1" applyAlignment="1" applyProtection="1">
      <alignment vertical="center"/>
    </xf>
    <xf numFmtId="0" fontId="25" fillId="0" borderId="0" xfId="0" applyFont="1" applyAlignment="1">
      <alignment vertical="center"/>
    </xf>
    <xf numFmtId="49" fontId="26" fillId="0" borderId="3" xfId="0" applyNumberFormat="1" applyFont="1" applyFill="1" applyBorder="1" applyAlignment="1" applyProtection="1">
      <alignment horizontal="left" vertical="center"/>
    </xf>
    <xf numFmtId="49" fontId="27" fillId="0" borderId="0" xfId="0" applyNumberFormat="1" applyFont="1" applyFill="1" applyBorder="1" applyAlignment="1" applyProtection="1">
      <alignment horizontal="left" vertical="center"/>
    </xf>
    <xf numFmtId="49" fontId="28" fillId="0" borderId="0" xfId="0" applyNumberFormat="1" applyFont="1" applyFill="1" applyBorder="1" applyAlignment="1" applyProtection="1">
      <alignment horizontal="left" vertical="center"/>
    </xf>
    <xf numFmtId="4" fontId="28" fillId="0" borderId="0" xfId="0" applyNumberFormat="1" applyFont="1" applyFill="1" applyBorder="1" applyAlignment="1" applyProtection="1">
      <alignment horizontal="right" vertical="center"/>
    </xf>
    <xf numFmtId="4" fontId="25" fillId="0" borderId="0" xfId="0" applyNumberFormat="1" applyFont="1" applyFill="1" applyBorder="1" applyAlignment="1" applyProtection="1">
      <alignment horizontal="right" vertical="center"/>
    </xf>
    <xf numFmtId="49" fontId="28" fillId="0" borderId="0" xfId="0" applyNumberFormat="1" applyFont="1" applyFill="1" applyBorder="1" applyAlignment="1" applyProtection="1">
      <alignment horizontal="right" vertical="center"/>
    </xf>
    <xf numFmtId="49" fontId="25" fillId="0" borderId="0" xfId="0" applyNumberFormat="1" applyFont="1" applyFill="1" applyBorder="1" applyAlignment="1" applyProtection="1">
      <alignment horizontal="right" vertical="center"/>
    </xf>
    <xf numFmtId="49" fontId="29" fillId="0" borderId="0" xfId="0" applyNumberFormat="1" applyFont="1" applyFill="1" applyBorder="1" applyAlignment="1" applyProtection="1">
      <alignment horizontal="left" vertical="center"/>
    </xf>
    <xf numFmtId="4" fontId="29" fillId="0" borderId="0" xfId="0" applyNumberFormat="1" applyFont="1" applyFill="1" applyBorder="1" applyAlignment="1" applyProtection="1">
      <alignment horizontal="right" vertical="center"/>
    </xf>
    <xf numFmtId="49" fontId="28" fillId="0" borderId="0" xfId="0" applyNumberFormat="1" applyFont="1" applyFill="1" applyBorder="1" applyAlignment="1" applyProtection="1">
      <alignment vertical="center"/>
    </xf>
    <xf numFmtId="4" fontId="24" fillId="0" borderId="0" xfId="0" applyNumberFormat="1" applyFont="1" applyFill="1" applyBorder="1" applyAlignment="1" applyProtection="1">
      <alignment horizontal="right" vertical="center"/>
    </xf>
    <xf numFmtId="0" fontId="25" fillId="0" borderId="0" xfId="0" applyNumberFormat="1" applyFont="1" applyFill="1" applyBorder="1" applyAlignment="1" applyProtection="1">
      <alignment vertical="center"/>
    </xf>
    <xf numFmtId="49" fontId="24" fillId="0" borderId="0" xfId="0" applyNumberFormat="1" applyFont="1" applyFill="1" applyBorder="1" applyAlignment="1" applyProtection="1">
      <alignment horizontal="right" vertical="center"/>
    </xf>
    <xf numFmtId="4" fontId="27" fillId="0" borderId="0" xfId="0" applyNumberFormat="1" applyFont="1" applyFill="1" applyBorder="1" applyAlignment="1" applyProtection="1">
      <alignment horizontal="right" vertical="center"/>
    </xf>
    <xf numFmtId="49" fontId="27" fillId="0" borderId="0" xfId="0" applyNumberFormat="1" applyFont="1" applyFill="1" applyBorder="1" applyAlignment="1" applyProtection="1">
      <alignment vertical="center"/>
    </xf>
    <xf numFmtId="49" fontId="27" fillId="0" borderId="0" xfId="0" applyNumberFormat="1" applyFont="1" applyFill="1" applyBorder="1" applyAlignment="1" applyProtection="1">
      <alignment horizontal="right" vertical="center"/>
    </xf>
    <xf numFmtId="49" fontId="27" fillId="0" borderId="3" xfId="0" applyNumberFormat="1" applyFont="1" applyFill="1" applyBorder="1" applyAlignment="1" applyProtection="1">
      <alignment horizontal="left" vertical="center"/>
    </xf>
    <xf numFmtId="49" fontId="30" fillId="0" borderId="0" xfId="0" applyNumberFormat="1" applyFont="1" applyFill="1" applyBorder="1" applyAlignment="1" applyProtection="1">
      <alignment horizontal="right" vertical="top"/>
    </xf>
    <xf numFmtId="4" fontId="8" fillId="2" borderId="24" xfId="0" applyNumberFormat="1" applyFont="1" applyFill="1" applyBorder="1" applyAlignment="1" applyProtection="1">
      <alignment horizontal="right" vertical="center"/>
    </xf>
    <xf numFmtId="4" fontId="27" fillId="0" borderId="22" xfId="0" applyNumberFormat="1" applyFont="1" applyFill="1" applyBorder="1" applyAlignment="1" applyProtection="1">
      <alignment horizontal="right" vertical="center"/>
    </xf>
    <xf numFmtId="0" fontId="11" fillId="0" borderId="22" xfId="0" applyNumberFormat="1" applyFont="1" applyFill="1" applyBorder="1" applyAlignment="1" applyProtection="1">
      <alignment horizontal="left" vertical="center"/>
    </xf>
    <xf numFmtId="0" fontId="30" fillId="0" borderId="0" xfId="0" applyNumberFormat="1" applyFont="1" applyFill="1" applyBorder="1" applyAlignment="1" applyProtection="1">
      <alignment vertical="top"/>
    </xf>
    <xf numFmtId="4" fontId="6" fillId="5" borderId="48" xfId="0" applyNumberFormat="1" applyFont="1" applyFill="1" applyBorder="1" applyAlignment="1" applyProtection="1">
      <alignment horizontal="right" vertical="center"/>
    </xf>
    <xf numFmtId="0" fontId="1" fillId="5" borderId="49" xfId="1" applyNumberFormat="1" applyFont="1" applyFill="1" applyBorder="1" applyAlignment="1" applyProtection="1"/>
    <xf numFmtId="4" fontId="24" fillId="2" borderId="22" xfId="0" applyNumberFormat="1" applyFont="1" applyFill="1" applyBorder="1" applyAlignment="1" applyProtection="1">
      <alignment horizontal="right" vertical="center"/>
    </xf>
    <xf numFmtId="4" fontId="28" fillId="0" borderId="22" xfId="0" applyNumberFormat="1" applyFont="1" applyFill="1" applyBorder="1" applyAlignment="1" applyProtection="1">
      <alignment horizontal="right" vertical="center"/>
    </xf>
    <xf numFmtId="0" fontId="25" fillId="0" borderId="22" xfId="0" applyFont="1" applyBorder="1" applyAlignment="1">
      <alignment vertical="center"/>
    </xf>
    <xf numFmtId="0" fontId="30" fillId="0" borderId="22" xfId="0" applyNumberFormat="1" applyFont="1" applyFill="1" applyBorder="1" applyAlignment="1" applyProtection="1">
      <alignment vertical="top"/>
    </xf>
    <xf numFmtId="4" fontId="2" fillId="4" borderId="49" xfId="0" applyNumberFormat="1" applyFont="1" applyFill="1" applyBorder="1" applyAlignment="1" applyProtection="1">
      <alignment horizontal="right" vertical="center"/>
    </xf>
    <xf numFmtId="0" fontId="9" fillId="0" borderId="0" xfId="0" applyNumberFormat="1" applyFont="1" applyFill="1" applyBorder="1" applyAlignment="1" applyProtection="1">
      <alignment vertical="top" wrapText="1"/>
    </xf>
    <xf numFmtId="49" fontId="12" fillId="0" borderId="0" xfId="0" applyNumberFormat="1" applyFont="1" applyFill="1" applyBorder="1" applyAlignment="1" applyProtection="1">
      <alignment horizontal="left" vertical="center" wrapText="1"/>
    </xf>
    <xf numFmtId="49" fontId="26" fillId="0" borderId="0" xfId="4" applyNumberFormat="1" applyFont="1" applyFill="1" applyBorder="1" applyAlignment="1" applyProtection="1">
      <alignment horizontal="left" vertical="center"/>
    </xf>
    <xf numFmtId="4" fontId="26" fillId="0" borderId="0" xfId="4" applyNumberFormat="1" applyFont="1" applyFill="1" applyBorder="1" applyAlignment="1" applyProtection="1">
      <alignment horizontal="right" vertical="center"/>
    </xf>
    <xf numFmtId="4" fontId="26" fillId="0" borderId="22" xfId="4" applyNumberFormat="1" applyFont="1" applyFill="1" applyBorder="1" applyAlignment="1" applyProtection="1">
      <alignment horizontal="right" vertical="center"/>
    </xf>
    <xf numFmtId="49" fontId="6" fillId="0" borderId="0" xfId="4" applyNumberFormat="1" applyFont="1" applyFill="1" applyBorder="1" applyAlignment="1" applyProtection="1">
      <alignment horizontal="left" vertical="center"/>
    </xf>
    <xf numFmtId="4" fontId="6" fillId="0" borderId="0" xfId="4" applyNumberFormat="1" applyFont="1" applyFill="1" applyBorder="1" applyAlignment="1" applyProtection="1">
      <alignment horizontal="right" vertical="center"/>
    </xf>
    <xf numFmtId="0" fontId="2" fillId="0" borderId="0" xfId="4" applyFont="1" applyBorder="1" applyAlignment="1">
      <alignment vertical="center"/>
    </xf>
    <xf numFmtId="0" fontId="2" fillId="0" borderId="3" xfId="4" applyFont="1" applyBorder="1" applyAlignment="1">
      <alignment vertical="center"/>
    </xf>
    <xf numFmtId="0" fontId="11" fillId="0" borderId="0" xfId="4" applyNumberFormat="1" applyFont="1" applyFill="1" applyBorder="1" applyAlignment="1" applyProtection="1">
      <alignment horizontal="left" vertical="center" wrapText="1"/>
    </xf>
    <xf numFmtId="4" fontId="6" fillId="0" borderId="22" xfId="4" applyNumberFormat="1" applyFont="1" applyFill="1" applyBorder="1" applyAlignment="1" applyProtection="1">
      <alignment horizontal="right" vertical="center"/>
    </xf>
    <xf numFmtId="0" fontId="2" fillId="0" borderId="22" xfId="4" applyFont="1" applyBorder="1" applyAlignment="1">
      <alignment vertical="center"/>
    </xf>
    <xf numFmtId="49" fontId="32" fillId="0" borderId="0" xfId="0" applyNumberFormat="1" applyFont="1" applyFill="1" applyBorder="1" applyAlignment="1" applyProtection="1">
      <alignment horizontal="left" vertical="center"/>
    </xf>
    <xf numFmtId="49" fontId="5" fillId="0" borderId="0" xfId="3" applyNumberFormat="1" applyFont="1" applyFill="1" applyBorder="1" applyAlignment="1" applyProtection="1">
      <alignment horizontal="left" vertical="center" wrapText="1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11" fillId="0" borderId="22" xfId="0" applyNumberFormat="1" applyFont="1" applyFill="1" applyBorder="1" applyAlignment="1" applyProtection="1">
      <alignment horizontal="left" vertical="center"/>
    </xf>
    <xf numFmtId="49" fontId="6" fillId="0" borderId="3" xfId="4" applyNumberFormat="1" applyFont="1" applyFill="1" applyBorder="1" applyAlignment="1" applyProtection="1">
      <alignment horizontal="left" vertical="center"/>
    </xf>
    <xf numFmtId="0" fontId="2" fillId="0" borderId="3" xfId="4" applyNumberFormat="1" applyFont="1" applyFill="1" applyBorder="1" applyAlignment="1" applyProtection="1">
      <alignment vertical="center"/>
    </xf>
    <xf numFmtId="0" fontId="2" fillId="0" borderId="0" xfId="4" applyFont="1" applyAlignment="1">
      <alignment vertical="center"/>
    </xf>
    <xf numFmtId="4" fontId="2" fillId="0" borderId="0" xfId="4" applyNumberFormat="1" applyFont="1" applyFill="1" applyBorder="1" applyAlignment="1" applyProtection="1">
      <alignment horizontal="right" vertical="center"/>
    </xf>
    <xf numFmtId="49" fontId="8" fillId="2" borderId="0" xfId="4" applyNumberFormat="1" applyFont="1" applyFill="1" applyBorder="1" applyAlignment="1" applyProtection="1">
      <alignment horizontal="right" vertical="center"/>
    </xf>
    <xf numFmtId="49" fontId="6" fillId="0" borderId="0" xfId="4" applyNumberFormat="1" applyFont="1" applyFill="1" applyBorder="1" applyAlignment="1" applyProtection="1">
      <alignment horizontal="right" vertical="center"/>
    </xf>
    <xf numFmtId="49" fontId="2" fillId="0" borderId="0" xfId="4" applyNumberFormat="1" applyFont="1" applyFill="1" applyBorder="1" applyAlignment="1" applyProtection="1">
      <alignment horizontal="right" vertical="center"/>
    </xf>
    <xf numFmtId="49" fontId="10" fillId="0" borderId="0" xfId="4" applyNumberFormat="1" applyFont="1" applyFill="1" applyBorder="1" applyAlignment="1" applyProtection="1">
      <alignment horizontal="right" vertical="top"/>
    </xf>
    <xf numFmtId="49" fontId="12" fillId="0" borderId="0" xfId="4" applyNumberFormat="1" applyFont="1" applyFill="1" applyBorder="1" applyAlignment="1" applyProtection="1">
      <alignment horizontal="left" vertical="center"/>
    </xf>
    <xf numFmtId="4" fontId="12" fillId="0" borderId="0" xfId="4" applyNumberFormat="1" applyFont="1" applyFill="1" applyBorder="1" applyAlignment="1" applyProtection="1">
      <alignment horizontal="right" vertical="center"/>
    </xf>
    <xf numFmtId="49" fontId="26" fillId="0" borderId="3" xfId="4" applyNumberFormat="1" applyFont="1" applyFill="1" applyBorder="1" applyAlignment="1" applyProtection="1">
      <alignment horizontal="left" vertical="center"/>
    </xf>
    <xf numFmtId="49" fontId="26" fillId="0" borderId="0" xfId="4" applyNumberFormat="1" applyFont="1" applyFill="1" applyBorder="1" applyAlignment="1" applyProtection="1">
      <alignment horizontal="right" vertical="center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11" fillId="0" borderId="22" xfId="0" applyNumberFormat="1" applyFont="1" applyFill="1" applyBorder="1" applyAlignment="1" applyProtection="1">
      <alignment horizontal="left" vertical="center"/>
    </xf>
    <xf numFmtId="49" fontId="4" fillId="0" borderId="5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/>
    </xf>
    <xf numFmtId="0" fontId="2" fillId="0" borderId="3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31" fillId="0" borderId="9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49" fontId="2" fillId="0" borderId="9" xfId="0" applyNumberFormat="1" applyFont="1" applyFill="1" applyBorder="1" applyAlignment="1" applyProtection="1">
      <alignment horizontal="left" vertical="center"/>
    </xf>
    <xf numFmtId="0" fontId="2" fillId="0" borderId="9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49" fontId="4" fillId="0" borderId="0" xfId="0" applyNumberFormat="1" applyFont="1" applyFill="1" applyBorder="1" applyAlignment="1" applyProtection="1">
      <alignment horizontal="left" vertical="center"/>
    </xf>
    <xf numFmtId="49" fontId="4" fillId="0" borderId="22" xfId="0" applyNumberFormat="1" applyFont="1" applyFill="1" applyBorder="1" applyAlignment="1" applyProtection="1">
      <alignment horizontal="left" vertical="center"/>
    </xf>
    <xf numFmtId="0" fontId="2" fillId="0" borderId="22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9" fillId="0" borderId="0" xfId="0" applyNumberFormat="1" applyFont="1" applyFill="1" applyBorder="1" applyAlignment="1" applyProtection="1">
      <alignment horizontal="left" vertical="top"/>
    </xf>
    <xf numFmtId="0" fontId="9" fillId="0" borderId="22" xfId="0" applyNumberFormat="1" applyFont="1" applyFill="1" applyBorder="1" applyAlignment="1" applyProtection="1">
      <alignment horizontal="left" vertical="top"/>
    </xf>
    <xf numFmtId="0" fontId="2" fillId="0" borderId="10" xfId="0" applyNumberFormat="1" applyFont="1" applyFill="1" applyBorder="1" applyAlignment="1" applyProtection="1">
      <alignment horizontal="left" vertical="center"/>
    </xf>
    <xf numFmtId="49" fontId="4" fillId="0" borderId="47" xfId="0" applyNumberFormat="1" applyFont="1" applyFill="1" applyBorder="1" applyAlignment="1" applyProtection="1">
      <alignment horizontal="center" vertical="center"/>
    </xf>
    <xf numFmtId="0" fontId="4" fillId="0" borderId="17" xfId="0" applyNumberFormat="1" applyFont="1" applyFill="1" applyBorder="1" applyAlignment="1" applyProtection="1">
      <alignment horizontal="center" vertical="center"/>
    </xf>
    <xf numFmtId="0" fontId="4" fillId="0" borderId="19" xfId="0" applyNumberFormat="1" applyFont="1" applyFill="1" applyBorder="1" applyAlignment="1" applyProtection="1">
      <alignment horizontal="center" vertical="center"/>
    </xf>
    <xf numFmtId="49" fontId="4" fillId="0" borderId="15" xfId="0" applyNumberFormat="1" applyFont="1" applyFill="1" applyBorder="1" applyAlignment="1" applyProtection="1">
      <alignment horizontal="center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49" fontId="4" fillId="0" borderId="21" xfId="0" applyNumberFormat="1" applyFont="1" applyFill="1" applyBorder="1" applyAlignment="1" applyProtection="1">
      <alignment horizontal="left" vertical="center"/>
    </xf>
    <xf numFmtId="0" fontId="4" fillId="0" borderId="9" xfId="0" applyNumberFormat="1" applyFont="1" applyFill="1" applyBorder="1" applyAlignment="1" applyProtection="1">
      <alignment horizontal="left" vertical="center"/>
    </xf>
    <xf numFmtId="49" fontId="24" fillId="2" borderId="0" xfId="0" applyNumberFormat="1" applyFont="1" applyFill="1" applyBorder="1" applyAlignment="1" applyProtection="1">
      <alignment horizontal="left" vertical="center"/>
    </xf>
    <xf numFmtId="0" fontId="24" fillId="2" borderId="0" xfId="0" applyNumberFormat="1" applyFont="1" applyFill="1" applyBorder="1" applyAlignment="1" applyProtection="1">
      <alignment horizontal="left" vertical="center"/>
    </xf>
    <xf numFmtId="49" fontId="8" fillId="2" borderId="0" xfId="0" applyNumberFormat="1" applyFont="1" applyFill="1" applyBorder="1" applyAlignment="1" applyProtection="1">
      <alignment horizontal="left" vertical="center"/>
    </xf>
    <xf numFmtId="49" fontId="34" fillId="0" borderId="22" xfId="0" applyNumberFormat="1" applyFont="1" applyFill="1" applyBorder="1" applyAlignment="1" applyProtection="1">
      <alignment horizontal="left" vertical="center" wrapText="1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11" fillId="0" borderId="22" xfId="0" applyNumberFormat="1" applyFont="1" applyFill="1" applyBorder="1" applyAlignment="1" applyProtection="1">
      <alignment horizontal="left" vertical="center" wrapText="1"/>
    </xf>
    <xf numFmtId="49" fontId="4" fillId="0" borderId="50" xfId="0" applyNumberFormat="1" applyFont="1" applyFill="1" applyBorder="1" applyAlignment="1" applyProtection="1">
      <alignment horizontal="left" vertical="center"/>
    </xf>
    <xf numFmtId="0" fontId="11" fillId="0" borderId="0" xfId="4" applyNumberFormat="1" applyFont="1" applyFill="1" applyBorder="1" applyAlignment="1" applyProtection="1">
      <alignment horizontal="left" vertical="center" wrapText="1"/>
    </xf>
    <xf numFmtId="0" fontId="11" fillId="0" borderId="0" xfId="4" applyNumberFormat="1" applyFont="1" applyFill="1" applyBorder="1" applyAlignment="1" applyProtection="1">
      <alignment horizontal="left" vertical="center"/>
    </xf>
    <xf numFmtId="0" fontId="4" fillId="0" borderId="9" xfId="0" applyNumberFormat="1" applyFont="1" applyFill="1" applyBorder="1" applyAlignment="1" applyProtection="1">
      <alignment horizontal="left" vertical="center" wrapText="1"/>
    </xf>
    <xf numFmtId="0" fontId="2" fillId="0" borderId="21" xfId="0" applyNumberFormat="1" applyFont="1" applyFill="1" applyBorder="1" applyAlignment="1" applyProtection="1">
      <alignment horizontal="left" vertical="center"/>
    </xf>
    <xf numFmtId="0" fontId="2" fillId="0" borderId="23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3" fillId="0" borderId="9" xfId="0" applyNumberFormat="1" applyFont="1" applyFill="1" applyBorder="1" applyAlignment="1" applyProtection="1">
      <alignment horizontal="left" vertical="center" wrapText="1"/>
    </xf>
    <xf numFmtId="0" fontId="33" fillId="0" borderId="9" xfId="0" applyNumberFormat="1" applyFont="1" applyFill="1" applyBorder="1" applyAlignment="1" applyProtection="1">
      <alignment horizontal="left" vertical="center"/>
    </xf>
    <xf numFmtId="0" fontId="33" fillId="0" borderId="0" xfId="0" applyNumberFormat="1" applyFont="1" applyFill="1" applyBorder="1" applyAlignment="1" applyProtection="1">
      <alignment horizontal="left" vertical="center"/>
    </xf>
    <xf numFmtId="49" fontId="2" fillId="0" borderId="21" xfId="0" applyNumberFormat="1" applyFont="1" applyFill="1" applyBorder="1" applyAlignment="1" applyProtection="1">
      <alignment horizontal="left" vertical="center"/>
    </xf>
    <xf numFmtId="0" fontId="2" fillId="0" borderId="22" xfId="0" applyNumberFormat="1" applyFont="1" applyFill="1" applyBorder="1" applyAlignment="1" applyProtection="1">
      <alignment horizontal="left" vertical="center" wrapText="1"/>
    </xf>
    <xf numFmtId="0" fontId="2" fillId="0" borderId="25" xfId="0" applyNumberFormat="1" applyFont="1" applyFill="1" applyBorder="1" applyAlignment="1" applyProtection="1">
      <alignment horizontal="left" vertical="center"/>
    </xf>
    <xf numFmtId="0" fontId="2" fillId="0" borderId="8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49" fontId="13" fillId="0" borderId="34" xfId="0" applyNumberFormat="1" applyFont="1" applyFill="1" applyBorder="1" applyAlignment="1" applyProtection="1">
      <alignment horizontal="center" vertical="center"/>
    </xf>
    <xf numFmtId="0" fontId="13" fillId="0" borderId="34" xfId="0" applyNumberFormat="1" applyFont="1" applyFill="1" applyBorder="1" applyAlignment="1" applyProtection="1">
      <alignment horizontal="center" vertical="center"/>
    </xf>
    <xf numFmtId="49" fontId="17" fillId="0" borderId="38" xfId="0" applyNumberFormat="1" applyFont="1" applyFill="1" applyBorder="1" applyAlignment="1" applyProtection="1">
      <alignment horizontal="left" vertical="center"/>
    </xf>
    <xf numFmtId="0" fontId="17" fillId="0" borderId="41" xfId="0" applyNumberFormat="1" applyFont="1" applyFill="1" applyBorder="1" applyAlignment="1" applyProtection="1">
      <alignment horizontal="left" vertical="center"/>
    </xf>
    <xf numFmtId="49" fontId="16" fillId="0" borderId="38" xfId="0" applyNumberFormat="1" applyFont="1" applyFill="1" applyBorder="1" applyAlignment="1" applyProtection="1">
      <alignment horizontal="left" vertical="center"/>
    </xf>
    <xf numFmtId="0" fontId="16" fillId="0" borderId="41" xfId="0" applyNumberFormat="1" applyFont="1" applyFill="1" applyBorder="1" applyAlignment="1" applyProtection="1">
      <alignment horizontal="left" vertical="center"/>
    </xf>
    <xf numFmtId="49" fontId="15" fillId="0" borderId="38" xfId="0" applyNumberFormat="1" applyFont="1" applyFill="1" applyBorder="1" applyAlignment="1" applyProtection="1">
      <alignment horizontal="left" vertical="center"/>
    </xf>
    <xf numFmtId="0" fontId="15" fillId="0" borderId="41" xfId="0" applyNumberFormat="1" applyFont="1" applyFill="1" applyBorder="1" applyAlignment="1" applyProtection="1">
      <alignment horizontal="left" vertical="center"/>
    </xf>
    <xf numFmtId="49" fontId="15" fillId="3" borderId="38" xfId="0" applyNumberFormat="1" applyFont="1" applyFill="1" applyBorder="1" applyAlignment="1" applyProtection="1">
      <alignment horizontal="left" vertical="center"/>
    </xf>
    <xf numFmtId="0" fontId="15" fillId="3" borderId="34" xfId="0" applyNumberFormat="1" applyFont="1" applyFill="1" applyBorder="1" applyAlignment="1" applyProtection="1">
      <alignment horizontal="left" vertical="center"/>
    </xf>
    <xf numFmtId="49" fontId="16" fillId="0" borderId="33" xfId="0" applyNumberFormat="1" applyFont="1" applyFill="1" applyBorder="1" applyAlignment="1" applyProtection="1">
      <alignment horizontal="left" vertical="center"/>
    </xf>
    <xf numFmtId="0" fontId="16" fillId="0" borderId="13" xfId="0" applyNumberFormat="1" applyFont="1" applyFill="1" applyBorder="1" applyAlignment="1" applyProtection="1">
      <alignment horizontal="left" vertical="center"/>
    </xf>
    <xf numFmtId="0" fontId="16" fillId="0" borderId="32" xfId="0" applyNumberFormat="1" applyFont="1" applyFill="1" applyBorder="1" applyAlignment="1" applyProtection="1">
      <alignment horizontal="left" vertical="center"/>
    </xf>
    <xf numFmtId="49" fontId="16" fillId="0" borderId="26" xfId="0" applyNumberFormat="1" applyFont="1" applyFill="1" applyBorder="1" applyAlignment="1" applyProtection="1">
      <alignment horizontal="left" vertical="center"/>
    </xf>
    <xf numFmtId="0" fontId="16" fillId="0" borderId="0" xfId="0" applyNumberFormat="1" applyFont="1" applyFill="1" applyBorder="1" applyAlignment="1" applyProtection="1">
      <alignment horizontal="left" vertical="center"/>
    </xf>
    <xf numFmtId="0" fontId="16" fillId="0" borderId="31" xfId="0" applyNumberFormat="1" applyFont="1" applyFill="1" applyBorder="1" applyAlignment="1" applyProtection="1">
      <alignment horizontal="left" vertical="center"/>
    </xf>
    <xf numFmtId="49" fontId="16" fillId="0" borderId="40" xfId="0" applyNumberFormat="1" applyFont="1" applyFill="1" applyBorder="1" applyAlignment="1" applyProtection="1">
      <alignment horizontal="left" vertical="center"/>
    </xf>
    <xf numFmtId="0" fontId="16" fillId="0" borderId="10" xfId="0" applyNumberFormat="1" applyFont="1" applyFill="1" applyBorder="1" applyAlignment="1" applyProtection="1">
      <alignment horizontal="left" vertical="center"/>
    </xf>
    <xf numFmtId="0" fontId="16" fillId="0" borderId="42" xfId="0" applyNumberFormat="1" applyFont="1" applyFill="1" applyBorder="1" applyAlignment="1" applyProtection="1">
      <alignment horizontal="left" vertical="center"/>
    </xf>
    <xf numFmtId="0" fontId="35" fillId="0" borderId="0" xfId="0" applyNumberFormat="1" applyFont="1" applyFill="1" applyBorder="1" applyAlignment="1" applyProtection="1">
      <alignment horizontal="left" vertical="center" wrapText="1"/>
    </xf>
    <xf numFmtId="4" fontId="6" fillId="0" borderId="0" xfId="0" applyNumberFormat="1" applyFont="1" applyFill="1" applyBorder="1" applyAlignment="1" applyProtection="1">
      <alignment horizontal="right" vertical="center"/>
      <protection locked="0"/>
    </xf>
    <xf numFmtId="4" fontId="2" fillId="4" borderId="43" xfId="0" applyNumberFormat="1" applyFont="1" applyFill="1" applyBorder="1" applyAlignment="1" applyProtection="1">
      <alignment horizontal="right" vertical="center"/>
      <protection locked="0"/>
    </xf>
    <xf numFmtId="4" fontId="2" fillId="0" borderId="0" xfId="0" applyNumberFormat="1" applyFont="1" applyFill="1" applyBorder="1" applyAlignment="1" applyProtection="1">
      <alignment horizontal="right" vertical="center"/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49" fontId="6" fillId="0" borderId="0" xfId="0" applyNumberFormat="1" applyFont="1" applyFill="1" applyBorder="1" applyAlignment="1" applyProtection="1">
      <alignment horizontal="left" vertical="center"/>
      <protection locked="0"/>
    </xf>
    <xf numFmtId="4" fontId="6" fillId="0" borderId="22" xfId="0" applyNumberFormat="1" applyFont="1" applyFill="1" applyBorder="1" applyAlignment="1" applyProtection="1">
      <alignment horizontal="right" vertical="center"/>
      <protection locked="0"/>
    </xf>
    <xf numFmtId="49" fontId="34" fillId="0" borderId="22" xfId="0" applyNumberFormat="1" applyFont="1" applyFill="1" applyBorder="1" applyAlignment="1" applyProtection="1">
      <alignment horizontal="left" vertical="center"/>
      <protection locked="0"/>
    </xf>
    <xf numFmtId="0" fontId="11" fillId="0" borderId="0" xfId="0" applyNumberFormat="1" applyFont="1" applyFill="1" applyBorder="1" applyAlignment="1" applyProtection="1">
      <alignment horizontal="left" vertical="center"/>
      <protection locked="0"/>
    </xf>
    <xf numFmtId="0" fontId="11" fillId="0" borderId="22" xfId="0" applyNumberFormat="1" applyFont="1" applyFill="1" applyBorder="1" applyAlignment="1" applyProtection="1">
      <alignment horizontal="left" vertical="center"/>
      <protection locked="0"/>
    </xf>
    <xf numFmtId="4" fontId="27" fillId="0" borderId="0" xfId="0" applyNumberFormat="1" applyFont="1" applyFill="1" applyBorder="1" applyAlignment="1" applyProtection="1">
      <alignment horizontal="right" vertical="center"/>
      <protection locked="0"/>
    </xf>
    <xf numFmtId="4" fontId="6" fillId="0" borderId="0" xfId="4" applyNumberFormat="1" applyFont="1" applyFill="1" applyBorder="1" applyAlignment="1" applyProtection="1">
      <alignment horizontal="right" vertical="center"/>
      <protection locked="0"/>
    </xf>
    <xf numFmtId="0" fontId="11" fillId="0" borderId="0" xfId="0" applyNumberFormat="1" applyFont="1" applyFill="1" applyBorder="1" applyAlignment="1" applyProtection="1">
      <alignment horizontal="left" vertical="center"/>
      <protection locked="0"/>
    </xf>
    <xf numFmtId="2" fontId="1" fillId="0" borderId="0" xfId="0" applyNumberFormat="1" applyFont="1" applyFill="1" applyBorder="1" applyAlignment="1" applyProtection="1">
      <alignment horizontal="right" vertical="center"/>
      <protection locked="0"/>
    </xf>
    <xf numFmtId="4" fontId="28" fillId="0" borderId="0" xfId="0" applyNumberFormat="1" applyFont="1" applyFill="1" applyBorder="1" applyAlignment="1" applyProtection="1">
      <alignment horizontal="right" vertical="center"/>
      <protection locked="0"/>
    </xf>
    <xf numFmtId="4" fontId="26" fillId="0" borderId="0" xfId="4" applyNumberFormat="1" applyFont="1" applyFill="1" applyBorder="1" applyAlignment="1" applyProtection="1">
      <alignment horizontal="right" vertical="center"/>
      <protection locked="0"/>
    </xf>
    <xf numFmtId="4" fontId="6" fillId="5" borderId="44" xfId="0" applyNumberFormat="1" applyFont="1" applyFill="1" applyBorder="1" applyAlignment="1" applyProtection="1">
      <alignment horizontal="right" vertical="center"/>
      <protection locked="0"/>
    </xf>
  </cellXfs>
  <cellStyles count="4">
    <cellStyle name="Chybně" xfId="2"/>
    <cellStyle name="Normální" xfId="0" builtinId="0"/>
    <cellStyle name="Normální 2" xfId="3"/>
    <cellStyle name="Normální_Stavební rozpočet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000000"/>
      <rgbColor rgb="00000000"/>
      <rgbColor rgb="00C0C0C0"/>
      <rgbColor rgb="00C0C0C0"/>
      <rgbColor rgb="00000000"/>
      <rgbColor rgb="00000000"/>
      <rgbColor rgb="00DBDBDB"/>
      <rgbColor rgb="00000000"/>
      <rgbColor rgb="00C0C0C0"/>
      <rgbColor rgb="00000000"/>
      <rgbColor rgb="00C0C0C0"/>
      <rgbColor rgb="00000000"/>
      <rgbColor rgb="00000000"/>
      <rgbColor rgb="00000000"/>
      <rgbColor rgb="00000000"/>
      <rgbColor rgb="00000000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114"/>
  <sheetViews>
    <sheetView tabSelected="1" zoomScaleNormal="100" workbookViewId="0">
      <pane ySplit="11" topLeftCell="A96" activePane="bottomLeft" state="frozenSplit"/>
      <selection pane="bottomLeft" activeCell="G69" sqref="G69"/>
    </sheetView>
  </sheetViews>
  <sheetFormatPr defaultColWidth="11.53515625" defaultRowHeight="12.45" x14ac:dyDescent="0.3"/>
  <cols>
    <col min="1" max="1" width="3.69140625" customWidth="1"/>
    <col min="2" max="2" width="7.53515625" customWidth="1"/>
    <col min="3" max="3" width="14.3046875" customWidth="1"/>
    <col min="4" max="4" width="49.69140625" customWidth="1"/>
    <col min="5" max="5" width="6.4609375" customWidth="1"/>
    <col min="6" max="6" width="12.84375" customWidth="1"/>
    <col min="7" max="7" width="12" customWidth="1"/>
    <col min="8" max="9" width="14.3046875" customWidth="1"/>
    <col min="10" max="10" width="14.07421875" customWidth="1"/>
    <col min="11" max="12" width="11.69140625" customWidth="1"/>
    <col min="24" max="57" width="12.07421875" hidden="1" customWidth="1"/>
    <col min="58" max="58" width="4.4609375" hidden="1" customWidth="1"/>
    <col min="59" max="62" width="12.07421875" hidden="1" customWidth="1"/>
    <col min="63" max="63" width="12.4609375" hidden="1" customWidth="1"/>
  </cols>
  <sheetData>
    <row r="1" spans="1:63" ht="72.900000000000006" customHeight="1" x14ac:dyDescent="0.3">
      <c r="A1" s="188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</row>
    <row r="2" spans="1:63" x14ac:dyDescent="0.3">
      <c r="A2" s="190" t="s">
        <v>1</v>
      </c>
      <c r="B2" s="191"/>
      <c r="C2" s="191"/>
      <c r="D2" s="194" t="s">
        <v>258</v>
      </c>
      <c r="E2" s="196" t="s">
        <v>67</v>
      </c>
      <c r="F2" s="191"/>
      <c r="G2" s="196" t="s">
        <v>6</v>
      </c>
      <c r="H2" s="197" t="s">
        <v>79</v>
      </c>
      <c r="I2" s="197" t="s">
        <v>86</v>
      </c>
      <c r="J2" s="191"/>
      <c r="K2" s="191"/>
      <c r="L2" s="191"/>
      <c r="M2" s="5"/>
    </row>
    <row r="3" spans="1:63" x14ac:dyDescent="0.3">
      <c r="A3" s="192"/>
      <c r="B3" s="193"/>
      <c r="C3" s="193"/>
      <c r="D3" s="195"/>
      <c r="E3" s="193"/>
      <c r="F3" s="193"/>
      <c r="G3" s="193"/>
      <c r="H3" s="193"/>
      <c r="I3" s="193"/>
      <c r="J3" s="193"/>
      <c r="K3" s="193"/>
      <c r="L3" s="193"/>
      <c r="M3" s="5"/>
    </row>
    <row r="4" spans="1:63" x14ac:dyDescent="0.3">
      <c r="A4" s="199" t="s">
        <v>2</v>
      </c>
      <c r="B4" s="193"/>
      <c r="C4" s="193"/>
      <c r="D4" s="198" t="s">
        <v>6</v>
      </c>
      <c r="E4" s="200" t="s">
        <v>68</v>
      </c>
      <c r="F4" s="193"/>
      <c r="G4" s="200" t="s">
        <v>6</v>
      </c>
      <c r="H4" s="198" t="s">
        <v>80</v>
      </c>
      <c r="I4" s="201" t="s">
        <v>87</v>
      </c>
      <c r="J4" s="193"/>
      <c r="K4" s="193"/>
      <c r="L4" s="202"/>
      <c r="M4" s="5"/>
    </row>
    <row r="5" spans="1:63" x14ac:dyDescent="0.3">
      <c r="A5" s="192"/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202"/>
      <c r="M5" s="5"/>
    </row>
    <row r="6" spans="1:63" x14ac:dyDescent="0.3">
      <c r="A6" s="199" t="s">
        <v>3</v>
      </c>
      <c r="B6" s="193"/>
      <c r="C6" s="193"/>
      <c r="D6" s="198" t="s">
        <v>36</v>
      </c>
      <c r="E6" s="200" t="s">
        <v>69</v>
      </c>
      <c r="F6" s="193"/>
      <c r="G6" s="200" t="s">
        <v>6</v>
      </c>
      <c r="H6" s="198" t="s">
        <v>81</v>
      </c>
      <c r="I6" s="198" t="s">
        <v>88</v>
      </c>
      <c r="J6" s="193"/>
      <c r="K6" s="193"/>
      <c r="L6" s="193"/>
      <c r="M6" s="5"/>
    </row>
    <row r="7" spans="1:63" x14ac:dyDescent="0.3">
      <c r="A7" s="192"/>
      <c r="B7" s="193"/>
      <c r="C7" s="193"/>
      <c r="D7" s="193"/>
      <c r="E7" s="193"/>
      <c r="F7" s="193"/>
      <c r="G7" s="193"/>
      <c r="H7" s="193"/>
      <c r="I7" s="193"/>
      <c r="J7" s="193"/>
      <c r="K7" s="193"/>
      <c r="L7" s="193"/>
      <c r="M7" s="5"/>
    </row>
    <row r="8" spans="1:63" x14ac:dyDescent="0.3">
      <c r="A8" s="199" t="s">
        <v>4</v>
      </c>
      <c r="B8" s="193"/>
      <c r="C8" s="193"/>
      <c r="D8" s="198" t="s">
        <v>6</v>
      </c>
      <c r="E8" s="200" t="s">
        <v>70</v>
      </c>
      <c r="F8" s="193"/>
      <c r="G8" s="200" t="s">
        <v>259</v>
      </c>
      <c r="H8" s="198" t="s">
        <v>82</v>
      </c>
      <c r="I8" s="198" t="s">
        <v>172</v>
      </c>
      <c r="J8" s="193"/>
      <c r="K8" s="193"/>
      <c r="L8" s="193"/>
      <c r="M8" s="5"/>
    </row>
    <row r="9" spans="1:63" ht="12.9" thickBot="1" x14ac:dyDescent="0.35">
      <c r="A9" s="211"/>
      <c r="B9" s="206"/>
      <c r="C9" s="206"/>
      <c r="D9" s="206"/>
      <c r="E9" s="206"/>
      <c r="F9" s="206"/>
      <c r="G9" s="206"/>
      <c r="H9" s="206"/>
      <c r="I9" s="206"/>
      <c r="J9" s="206"/>
      <c r="K9" s="206"/>
      <c r="L9" s="206"/>
      <c r="M9" s="5"/>
    </row>
    <row r="10" spans="1:63" x14ac:dyDescent="0.3">
      <c r="A10" s="1" t="s">
        <v>5</v>
      </c>
      <c r="B10" s="10" t="s">
        <v>20</v>
      </c>
      <c r="C10" s="10" t="s">
        <v>21</v>
      </c>
      <c r="D10" s="101" t="s">
        <v>37</v>
      </c>
      <c r="E10" s="101" t="s">
        <v>71</v>
      </c>
      <c r="F10" s="102" t="s">
        <v>76</v>
      </c>
      <c r="G10" s="103" t="s">
        <v>77</v>
      </c>
      <c r="H10" s="207" t="s">
        <v>83</v>
      </c>
      <c r="I10" s="208"/>
      <c r="J10" s="209"/>
      <c r="K10" s="210" t="s">
        <v>91</v>
      </c>
      <c r="L10" s="209"/>
      <c r="M10" s="32"/>
      <c r="BJ10" s="30" t="s">
        <v>117</v>
      </c>
      <c r="BK10" s="36" t="s">
        <v>119</v>
      </c>
    </row>
    <row r="11" spans="1:63" x14ac:dyDescent="0.3">
      <c r="A11" s="2" t="s">
        <v>6</v>
      </c>
      <c r="B11" s="11" t="s">
        <v>6</v>
      </c>
      <c r="C11" s="11" t="s">
        <v>6</v>
      </c>
      <c r="D11" s="18" t="s">
        <v>38</v>
      </c>
      <c r="E11" s="11" t="s">
        <v>6</v>
      </c>
      <c r="F11" s="11" t="s">
        <v>6</v>
      </c>
      <c r="G11" s="25" t="s">
        <v>78</v>
      </c>
      <c r="H11" s="26" t="s">
        <v>84</v>
      </c>
      <c r="I11" s="27" t="s">
        <v>89</v>
      </c>
      <c r="J11" s="28" t="s">
        <v>90</v>
      </c>
      <c r="K11" s="26" t="s">
        <v>92</v>
      </c>
      <c r="L11" s="28" t="s">
        <v>90</v>
      </c>
      <c r="M11" s="32"/>
      <c r="Y11" s="30" t="s">
        <v>93</v>
      </c>
      <c r="Z11" s="30" t="s">
        <v>94</v>
      </c>
      <c r="AA11" s="30" t="s">
        <v>95</v>
      </c>
      <c r="AB11" s="30" t="s">
        <v>96</v>
      </c>
      <c r="AC11" s="30" t="s">
        <v>97</v>
      </c>
      <c r="AD11" s="30" t="s">
        <v>98</v>
      </c>
      <c r="AE11" s="30" t="s">
        <v>99</v>
      </c>
      <c r="AF11" s="30" t="s">
        <v>100</v>
      </c>
      <c r="AG11" s="30" t="s">
        <v>101</v>
      </c>
      <c r="BG11" s="30" t="s">
        <v>114</v>
      </c>
      <c r="BH11" s="30" t="s">
        <v>115</v>
      </c>
      <c r="BI11" s="30" t="s">
        <v>116</v>
      </c>
    </row>
    <row r="12" spans="1:63" x14ac:dyDescent="0.3">
      <c r="A12" s="3"/>
      <c r="B12" s="12"/>
      <c r="C12" s="12" t="s">
        <v>22</v>
      </c>
      <c r="D12" s="12" t="s">
        <v>39</v>
      </c>
      <c r="E12" s="21" t="s">
        <v>6</v>
      </c>
      <c r="F12" s="21" t="s">
        <v>6</v>
      </c>
      <c r="G12" s="21" t="s">
        <v>6</v>
      </c>
      <c r="H12" s="37">
        <f>SUM(H13:H25)</f>
        <v>0</v>
      </c>
      <c r="I12" s="37">
        <f>SUM(I13:I25)</f>
        <v>0</v>
      </c>
      <c r="J12" s="37">
        <f>SUM(J13:J25)</f>
        <v>0</v>
      </c>
      <c r="K12" s="29"/>
      <c r="L12" s="147">
        <f>SUM(L13:L25)</f>
        <v>0</v>
      </c>
      <c r="M12" s="72"/>
      <c r="AH12" s="30"/>
      <c r="AR12" s="38">
        <f>SUM(AI13:AI25)</f>
        <v>0</v>
      </c>
      <c r="AS12" s="38">
        <f>SUM(AJ13:AJ25)</f>
        <v>0</v>
      </c>
      <c r="AT12" s="38">
        <f>SUM(AK13:AK25)</f>
        <v>0</v>
      </c>
    </row>
    <row r="13" spans="1:63" x14ac:dyDescent="0.3">
      <c r="A13" s="4" t="s">
        <v>7</v>
      </c>
      <c r="B13" s="13"/>
      <c r="C13" s="13" t="s">
        <v>23</v>
      </c>
      <c r="D13" s="13" t="s">
        <v>40</v>
      </c>
      <c r="E13" s="13" t="s">
        <v>72</v>
      </c>
      <c r="F13" s="23">
        <v>1</v>
      </c>
      <c r="G13" s="255"/>
      <c r="H13" s="23">
        <f>F13*AN13</f>
        <v>0</v>
      </c>
      <c r="I13" s="23">
        <f>F13*AO13</f>
        <v>0</v>
      </c>
      <c r="J13" s="23">
        <f>F13*G13</f>
        <v>0</v>
      </c>
      <c r="K13" s="23">
        <v>0</v>
      </c>
      <c r="L13" s="96">
        <f>F13*K13</f>
        <v>0</v>
      </c>
      <c r="M13" s="72"/>
      <c r="Y13" s="33">
        <f>IF(AP13="5",BI13,0)</f>
        <v>0</v>
      </c>
      <c r="AA13" s="33">
        <f>IF(AP13="1",BG13,0)</f>
        <v>0</v>
      </c>
      <c r="AB13" s="33">
        <f>IF(AP13="1",BH13,0)</f>
        <v>0</v>
      </c>
      <c r="AC13" s="33">
        <f>IF(AP13="7",BG13,0)</f>
        <v>0</v>
      </c>
      <c r="AD13" s="33">
        <f>IF(AP13="7",BH13,0)</f>
        <v>0</v>
      </c>
      <c r="AE13" s="33">
        <f>IF(AP13="2",BG13,0)</f>
        <v>0</v>
      </c>
      <c r="AF13" s="33">
        <f>IF(AP13="2",BH13,0)</f>
        <v>0</v>
      </c>
      <c r="AG13" s="33">
        <f>IF(AP13="0",BI13,0)</f>
        <v>0</v>
      </c>
      <c r="AH13" s="30"/>
      <c r="AI13" s="23">
        <f>IF(AM13=0,J13,0)</f>
        <v>0</v>
      </c>
      <c r="AJ13" s="23">
        <f>IF(AM13=15,J13,0)</f>
        <v>0</v>
      </c>
      <c r="AK13" s="23">
        <f>IF(AM13=21,J13,0)</f>
        <v>0</v>
      </c>
      <c r="AM13" s="33">
        <v>21</v>
      </c>
      <c r="AN13" s="33">
        <f>G13*0</f>
        <v>0</v>
      </c>
      <c r="AO13" s="33">
        <f>G13*(1-0)</f>
        <v>0</v>
      </c>
      <c r="AP13" s="34" t="s">
        <v>7</v>
      </c>
      <c r="AU13" s="33">
        <f>AV13+AW13</f>
        <v>0</v>
      </c>
      <c r="AV13" s="33">
        <f>F13*AN13</f>
        <v>0</v>
      </c>
      <c r="AW13" s="33">
        <f>F13*AO13</f>
        <v>0</v>
      </c>
      <c r="AX13" s="35" t="s">
        <v>102</v>
      </c>
      <c r="AY13" s="35" t="s">
        <v>109</v>
      </c>
      <c r="AZ13" s="30" t="s">
        <v>113</v>
      </c>
      <c r="BB13" s="33">
        <f>AV13+AW13</f>
        <v>0</v>
      </c>
      <c r="BC13" s="33">
        <f>G13/(100-BD13)*100</f>
        <v>0</v>
      </c>
      <c r="BD13" s="33">
        <v>0</v>
      </c>
      <c r="BE13" s="33">
        <f>L13</f>
        <v>0</v>
      </c>
      <c r="BG13" s="23">
        <f>F13*AN13</f>
        <v>0</v>
      </c>
      <c r="BH13" s="23">
        <f>F13*AO13</f>
        <v>0</v>
      </c>
      <c r="BI13" s="23">
        <f>F13*G13</f>
        <v>0</v>
      </c>
      <c r="BJ13" s="23" t="s">
        <v>118</v>
      </c>
      <c r="BK13" s="33" t="s">
        <v>22</v>
      </c>
    </row>
    <row r="14" spans="1:63" ht="57" customHeight="1" x14ac:dyDescent="0.3">
      <c r="A14" s="5"/>
      <c r="C14" s="16" t="s">
        <v>18</v>
      </c>
      <c r="D14" s="203" t="s">
        <v>176</v>
      </c>
      <c r="E14" s="204"/>
      <c r="F14" s="204"/>
      <c r="G14" s="204"/>
      <c r="H14" s="204"/>
      <c r="I14" s="204"/>
      <c r="J14" s="204"/>
      <c r="K14" s="204"/>
      <c r="L14" s="205"/>
      <c r="M14" s="72"/>
    </row>
    <row r="15" spans="1:63" x14ac:dyDescent="0.3">
      <c r="A15" s="4" t="s">
        <v>8</v>
      </c>
      <c r="B15" s="13"/>
      <c r="C15" s="13" t="s">
        <v>23</v>
      </c>
      <c r="D15" s="13" t="s">
        <v>41</v>
      </c>
      <c r="E15" s="13" t="s">
        <v>72</v>
      </c>
      <c r="F15" s="23">
        <v>1</v>
      </c>
      <c r="G15" s="255"/>
      <c r="H15" s="23">
        <f>F15*AN15</f>
        <v>0</v>
      </c>
      <c r="I15" s="23">
        <f>F15*AO15</f>
        <v>0</v>
      </c>
      <c r="J15" s="23">
        <f>F15*G15</f>
        <v>0</v>
      </c>
      <c r="K15" s="23">
        <v>0</v>
      </c>
      <c r="L15" s="96">
        <f>F15*K15</f>
        <v>0</v>
      </c>
      <c r="M15" s="72"/>
      <c r="Y15" s="33">
        <f>IF(AP15="5",BI15,0)</f>
        <v>0</v>
      </c>
      <c r="AA15" s="33">
        <f>IF(AP15="1",BG15,0)</f>
        <v>0</v>
      </c>
      <c r="AB15" s="33">
        <f>IF(AP15="1",BH15,0)</f>
        <v>0</v>
      </c>
      <c r="AC15" s="33">
        <f>IF(AP15="7",BG15,0)</f>
        <v>0</v>
      </c>
      <c r="AD15" s="33">
        <f>IF(AP15="7",BH15,0)</f>
        <v>0</v>
      </c>
      <c r="AE15" s="33">
        <f>IF(AP15="2",BG15,0)</f>
        <v>0</v>
      </c>
      <c r="AF15" s="33">
        <f>IF(AP15="2",BH15,0)</f>
        <v>0</v>
      </c>
      <c r="AG15" s="33">
        <f>IF(AP15="0",BI15,0)</f>
        <v>0</v>
      </c>
      <c r="AH15" s="30"/>
      <c r="AI15" s="23">
        <f>IF(AM15=0,J15,0)</f>
        <v>0</v>
      </c>
      <c r="AJ15" s="23">
        <f>IF(AM15=15,J15,0)</f>
        <v>0</v>
      </c>
      <c r="AK15" s="23">
        <f>IF(AM15=21,J15,0)</f>
        <v>0</v>
      </c>
      <c r="AM15" s="33">
        <v>21</v>
      </c>
      <c r="AN15" s="33">
        <f>G15*0</f>
        <v>0</v>
      </c>
      <c r="AO15" s="33">
        <f>G15*(1-0)</f>
        <v>0</v>
      </c>
      <c r="AP15" s="34" t="s">
        <v>7</v>
      </c>
      <c r="AU15" s="33">
        <f>AV15+AW15</f>
        <v>0</v>
      </c>
      <c r="AV15" s="33">
        <f>F15*AN15</f>
        <v>0</v>
      </c>
      <c r="AW15" s="33">
        <f>F15*AO15</f>
        <v>0</v>
      </c>
      <c r="AX15" s="35" t="s">
        <v>102</v>
      </c>
      <c r="AY15" s="35" t="s">
        <v>109</v>
      </c>
      <c r="AZ15" s="30" t="s">
        <v>113</v>
      </c>
      <c r="BB15" s="33">
        <f>AV15+AW15</f>
        <v>0</v>
      </c>
      <c r="BC15" s="33">
        <f>G15/(100-BD15)*100</f>
        <v>0</v>
      </c>
      <c r="BD15" s="33">
        <v>0</v>
      </c>
      <c r="BE15" s="33">
        <f>L15</f>
        <v>0</v>
      </c>
      <c r="BG15" s="23">
        <f>F15*AN15</f>
        <v>0</v>
      </c>
      <c r="BH15" s="23">
        <f>F15*AO15</f>
        <v>0</v>
      </c>
      <c r="BI15" s="23">
        <f>F15*G15</f>
        <v>0</v>
      </c>
      <c r="BJ15" s="23" t="s">
        <v>118</v>
      </c>
      <c r="BK15" s="33" t="s">
        <v>22</v>
      </c>
    </row>
    <row r="16" spans="1:63" ht="12.9" x14ac:dyDescent="0.3">
      <c r="A16" s="5"/>
      <c r="C16" s="16" t="s">
        <v>18</v>
      </c>
      <c r="D16" s="203" t="s">
        <v>42</v>
      </c>
      <c r="E16" s="204"/>
      <c r="F16" s="204"/>
      <c r="G16" s="204"/>
      <c r="H16" s="204"/>
      <c r="I16" s="204"/>
      <c r="J16" s="204"/>
      <c r="K16" s="204"/>
      <c r="L16" s="205"/>
      <c r="M16" s="72"/>
    </row>
    <row r="17" spans="1:63" x14ac:dyDescent="0.3">
      <c r="A17" s="4" t="s">
        <v>9</v>
      </c>
      <c r="B17" s="13"/>
      <c r="C17" s="13" t="s">
        <v>23</v>
      </c>
      <c r="D17" s="13" t="s">
        <v>43</v>
      </c>
      <c r="E17" s="13" t="s">
        <v>72</v>
      </c>
      <c r="F17" s="23">
        <v>1</v>
      </c>
      <c r="G17" s="255"/>
      <c r="H17" s="23">
        <f>F17*AN17</f>
        <v>0</v>
      </c>
      <c r="I17" s="23">
        <f>F17*AO17</f>
        <v>0</v>
      </c>
      <c r="J17" s="23">
        <f>F17*G17</f>
        <v>0</v>
      </c>
      <c r="K17" s="23">
        <v>0</v>
      </c>
      <c r="L17" s="96">
        <f>F17*K17</f>
        <v>0</v>
      </c>
      <c r="M17" s="72"/>
      <c r="Y17" s="33">
        <f>IF(AP17="5",BI17,0)</f>
        <v>0</v>
      </c>
      <c r="AA17" s="33">
        <f>IF(AP17="1",BG17,0)</f>
        <v>0</v>
      </c>
      <c r="AB17" s="33">
        <f>IF(AP17="1",BH17,0)</f>
        <v>0</v>
      </c>
      <c r="AC17" s="33">
        <f>IF(AP17="7",BG17,0)</f>
        <v>0</v>
      </c>
      <c r="AD17" s="33">
        <f>IF(AP17="7",BH17,0)</f>
        <v>0</v>
      </c>
      <c r="AE17" s="33">
        <f>IF(AP17="2",BG17,0)</f>
        <v>0</v>
      </c>
      <c r="AF17" s="33">
        <f>IF(AP17="2",BH17,0)</f>
        <v>0</v>
      </c>
      <c r="AG17" s="33">
        <f>IF(AP17="0",BI17,0)</f>
        <v>0</v>
      </c>
      <c r="AH17" s="30"/>
      <c r="AI17" s="23">
        <f>IF(AM17=0,J17,0)</f>
        <v>0</v>
      </c>
      <c r="AJ17" s="23">
        <f>IF(AM17=15,J17,0)</f>
        <v>0</v>
      </c>
      <c r="AK17" s="23">
        <f>IF(AM17=21,J17,0)</f>
        <v>0</v>
      </c>
      <c r="AM17" s="33">
        <v>21</v>
      </c>
      <c r="AN17" s="33">
        <f>G17*0</f>
        <v>0</v>
      </c>
      <c r="AO17" s="33">
        <f>G17*(1-0)</f>
        <v>0</v>
      </c>
      <c r="AP17" s="34" t="s">
        <v>7</v>
      </c>
      <c r="AU17" s="33">
        <f>AV17+AW17</f>
        <v>0</v>
      </c>
      <c r="AV17" s="33">
        <f>F17*AN17</f>
        <v>0</v>
      </c>
      <c r="AW17" s="33">
        <f>F17*AO17</f>
        <v>0</v>
      </c>
      <c r="AX17" s="35" t="s">
        <v>102</v>
      </c>
      <c r="AY17" s="35" t="s">
        <v>109</v>
      </c>
      <c r="AZ17" s="30" t="s">
        <v>113</v>
      </c>
      <c r="BB17" s="33">
        <f>AV17+AW17</f>
        <v>0</v>
      </c>
      <c r="BC17" s="33">
        <f>G17/(100-BD17)*100</f>
        <v>0</v>
      </c>
      <c r="BD17" s="33">
        <v>0</v>
      </c>
      <c r="BE17" s="33">
        <f>L17</f>
        <v>0</v>
      </c>
      <c r="BG17" s="23">
        <f>F17*AN17</f>
        <v>0</v>
      </c>
      <c r="BH17" s="23">
        <f>F17*AO17</f>
        <v>0</v>
      </c>
      <c r="BI17" s="23">
        <f>F17*G17</f>
        <v>0</v>
      </c>
      <c r="BJ17" s="23" t="s">
        <v>118</v>
      </c>
      <c r="BK17" s="33" t="s">
        <v>22</v>
      </c>
    </row>
    <row r="18" spans="1:63" ht="25.65" customHeight="1" x14ac:dyDescent="0.3">
      <c r="A18" s="5"/>
      <c r="C18" s="16" t="s">
        <v>18</v>
      </c>
      <c r="D18" s="203" t="s">
        <v>44</v>
      </c>
      <c r="E18" s="204"/>
      <c r="F18" s="204"/>
      <c r="G18" s="204"/>
      <c r="H18" s="204"/>
      <c r="I18" s="204"/>
      <c r="J18" s="204"/>
      <c r="K18" s="204"/>
      <c r="L18" s="205"/>
      <c r="M18" s="72"/>
    </row>
    <row r="19" spans="1:63" x14ac:dyDescent="0.3">
      <c r="A19" s="4" t="s">
        <v>10</v>
      </c>
      <c r="B19" s="13"/>
      <c r="C19" s="13" t="s">
        <v>23</v>
      </c>
      <c r="D19" s="13" t="s">
        <v>45</v>
      </c>
      <c r="E19" s="13" t="s">
        <v>72</v>
      </c>
      <c r="F19" s="23">
        <v>1</v>
      </c>
      <c r="G19" s="255"/>
      <c r="H19" s="23">
        <f>F19*AN19</f>
        <v>0</v>
      </c>
      <c r="I19" s="23">
        <f>F19*AO19</f>
        <v>0</v>
      </c>
      <c r="J19" s="23">
        <f>F19*G19</f>
        <v>0</v>
      </c>
      <c r="K19" s="23">
        <v>0</v>
      </c>
      <c r="L19" s="96">
        <f>F19*K19</f>
        <v>0</v>
      </c>
      <c r="M19" s="72"/>
      <c r="Y19" s="33">
        <f>IF(AP19="5",BI19,0)</f>
        <v>0</v>
      </c>
      <c r="AA19" s="33">
        <f>IF(AP19="1",BG19,0)</f>
        <v>0</v>
      </c>
      <c r="AB19" s="33">
        <f>IF(AP19="1",BH19,0)</f>
        <v>0</v>
      </c>
      <c r="AC19" s="33">
        <f>IF(AP19="7",BG19,0)</f>
        <v>0</v>
      </c>
      <c r="AD19" s="33">
        <f>IF(AP19="7",BH19,0)</f>
        <v>0</v>
      </c>
      <c r="AE19" s="33">
        <f>IF(AP19="2",BG19,0)</f>
        <v>0</v>
      </c>
      <c r="AF19" s="33">
        <f>IF(AP19="2",BH19,0)</f>
        <v>0</v>
      </c>
      <c r="AG19" s="33">
        <f>IF(AP19="0",BI19,0)</f>
        <v>0</v>
      </c>
      <c r="AH19" s="30"/>
      <c r="AI19" s="23">
        <f>IF(AM19=0,J19,0)</f>
        <v>0</v>
      </c>
      <c r="AJ19" s="23">
        <f>IF(AM19=15,J19,0)</f>
        <v>0</v>
      </c>
      <c r="AK19" s="23">
        <f>IF(AM19=21,J19,0)</f>
        <v>0</v>
      </c>
      <c r="AM19" s="33">
        <v>21</v>
      </c>
      <c r="AN19" s="33">
        <f>G19*0</f>
        <v>0</v>
      </c>
      <c r="AO19" s="33">
        <f>G19*(1-0)</f>
        <v>0</v>
      </c>
      <c r="AP19" s="34" t="s">
        <v>7</v>
      </c>
      <c r="AU19" s="33">
        <f>AV19+AW19</f>
        <v>0</v>
      </c>
      <c r="AV19" s="33">
        <f>F19*AN19</f>
        <v>0</v>
      </c>
      <c r="AW19" s="33">
        <f>F19*AO19</f>
        <v>0</v>
      </c>
      <c r="AX19" s="35" t="s">
        <v>102</v>
      </c>
      <c r="AY19" s="35" t="s">
        <v>109</v>
      </c>
      <c r="AZ19" s="30" t="s">
        <v>113</v>
      </c>
      <c r="BB19" s="33">
        <f>AV19+AW19</f>
        <v>0</v>
      </c>
      <c r="BC19" s="33">
        <f>G19/(100-BD19)*100</f>
        <v>0</v>
      </c>
      <c r="BD19" s="33">
        <v>0</v>
      </c>
      <c r="BE19" s="33">
        <f>L19</f>
        <v>0</v>
      </c>
      <c r="BG19" s="23">
        <f>F19*AN19</f>
        <v>0</v>
      </c>
      <c r="BH19" s="23">
        <f>F19*AO19</f>
        <v>0</v>
      </c>
      <c r="BI19" s="23">
        <f>F19*G19</f>
        <v>0</v>
      </c>
      <c r="BJ19" s="23" t="s">
        <v>118</v>
      </c>
      <c r="BK19" s="33" t="s">
        <v>22</v>
      </c>
    </row>
    <row r="20" spans="1:63" ht="12.9" x14ac:dyDescent="0.3">
      <c r="A20" s="5"/>
      <c r="C20" s="16" t="s">
        <v>18</v>
      </c>
      <c r="D20" s="203" t="s">
        <v>46</v>
      </c>
      <c r="E20" s="204"/>
      <c r="F20" s="204"/>
      <c r="G20" s="204"/>
      <c r="H20" s="204"/>
      <c r="I20" s="204"/>
      <c r="J20" s="204"/>
      <c r="K20" s="204"/>
      <c r="L20" s="205"/>
      <c r="M20" s="72"/>
    </row>
    <row r="21" spans="1:63" x14ac:dyDescent="0.3">
      <c r="A21" s="86" t="s">
        <v>11</v>
      </c>
      <c r="B21" s="70"/>
      <c r="C21" s="70" t="s">
        <v>23</v>
      </c>
      <c r="D21" s="70" t="s">
        <v>47</v>
      </c>
      <c r="E21" s="70" t="s">
        <v>72</v>
      </c>
      <c r="F21" s="71">
        <v>1</v>
      </c>
      <c r="G21" s="256"/>
      <c r="H21" s="71">
        <f>F21*AN21</f>
        <v>0</v>
      </c>
      <c r="I21" s="71">
        <f>F21*AO21</f>
        <v>0</v>
      </c>
      <c r="J21" s="71">
        <f>F21*G21</f>
        <v>0</v>
      </c>
      <c r="K21" s="71">
        <v>0</v>
      </c>
      <c r="L21" s="157">
        <f>F21*K21</f>
        <v>0</v>
      </c>
      <c r="M21" s="72"/>
      <c r="Y21" s="33">
        <f>IF(AP21="5",BI21,0)</f>
        <v>0</v>
      </c>
      <c r="AA21" s="33">
        <f>IF(AP21="1",BG21,0)</f>
        <v>0</v>
      </c>
      <c r="AB21" s="33">
        <f>IF(AP21="1",BH21,0)</f>
        <v>0</v>
      </c>
      <c r="AC21" s="33">
        <f>IF(AP21="7",BG21,0)</f>
        <v>0</v>
      </c>
      <c r="AD21" s="33">
        <f>IF(AP21="7",BH21,0)</f>
        <v>0</v>
      </c>
      <c r="AE21" s="33">
        <f>IF(AP21="2",BG21,0)</f>
        <v>0</v>
      </c>
      <c r="AF21" s="33">
        <f>IF(AP21="2",BH21,0)</f>
        <v>0</v>
      </c>
      <c r="AG21" s="33">
        <f>IF(AP21="0",BI21,0)</f>
        <v>0</v>
      </c>
      <c r="AH21" s="30"/>
      <c r="AI21" s="23">
        <f>IF(AM21=0,J21,0)</f>
        <v>0</v>
      </c>
      <c r="AJ21" s="23">
        <f>IF(AM21=15,J21,0)</f>
        <v>0</v>
      </c>
      <c r="AK21" s="23">
        <f>IF(AM21=21,J21,0)</f>
        <v>0</v>
      </c>
      <c r="AM21" s="33">
        <v>21</v>
      </c>
      <c r="AN21" s="33">
        <f>G21*0</f>
        <v>0</v>
      </c>
      <c r="AO21" s="33">
        <f>G21*(1-0)</f>
        <v>0</v>
      </c>
      <c r="AP21" s="34" t="s">
        <v>7</v>
      </c>
      <c r="AU21" s="33">
        <f>AV21+AW21</f>
        <v>0</v>
      </c>
      <c r="AV21" s="33">
        <f>F21*AN21</f>
        <v>0</v>
      </c>
      <c r="AW21" s="33">
        <f>F21*AO21</f>
        <v>0</v>
      </c>
      <c r="AX21" s="35" t="s">
        <v>102</v>
      </c>
      <c r="AY21" s="35" t="s">
        <v>109</v>
      </c>
      <c r="AZ21" s="30" t="s">
        <v>113</v>
      </c>
      <c r="BB21" s="33">
        <f>AV21+AW21</f>
        <v>0</v>
      </c>
      <c r="BC21" s="33">
        <f>G21/(100-BD21)*100</f>
        <v>0</v>
      </c>
      <c r="BD21" s="33">
        <v>0</v>
      </c>
      <c r="BE21" s="33">
        <f>L21</f>
        <v>0</v>
      </c>
      <c r="BG21" s="23">
        <f>F21*AN21</f>
        <v>0</v>
      </c>
      <c r="BH21" s="23">
        <f>F21*AO21</f>
        <v>0</v>
      </c>
      <c r="BI21" s="23">
        <f>F21*G21</f>
        <v>0</v>
      </c>
      <c r="BJ21" s="23" t="s">
        <v>118</v>
      </c>
      <c r="BK21" s="33" t="s">
        <v>22</v>
      </c>
    </row>
    <row r="22" spans="1:63" ht="12.9" x14ac:dyDescent="0.3">
      <c r="A22" s="5"/>
      <c r="C22" s="16" t="s">
        <v>18</v>
      </c>
      <c r="D22" s="203" t="s">
        <v>48</v>
      </c>
      <c r="E22" s="204"/>
      <c r="F22" s="204"/>
      <c r="G22" s="204"/>
      <c r="H22" s="204"/>
      <c r="I22" s="204"/>
      <c r="J22" s="204"/>
      <c r="K22" s="204"/>
      <c r="L22" s="205"/>
      <c r="M22" s="72"/>
    </row>
    <row r="23" spans="1:63" x14ac:dyDescent="0.3">
      <c r="A23" s="87" t="s">
        <v>12</v>
      </c>
      <c r="B23" s="13"/>
      <c r="C23" s="13" t="s">
        <v>23</v>
      </c>
      <c r="D23" s="13" t="s">
        <v>49</v>
      </c>
      <c r="E23" s="13" t="s">
        <v>72</v>
      </c>
      <c r="F23" s="23">
        <v>1</v>
      </c>
      <c r="G23" s="255"/>
      <c r="H23" s="23">
        <f>F23*AN23</f>
        <v>0</v>
      </c>
      <c r="I23" s="23">
        <f>F23*AO23</f>
        <v>0</v>
      </c>
      <c r="J23" s="23">
        <f>F23*G23</f>
        <v>0</v>
      </c>
      <c r="K23" s="23">
        <v>0</v>
      </c>
      <c r="L23" s="96">
        <f>F23*K23</f>
        <v>0</v>
      </c>
      <c r="M23" s="72"/>
      <c r="Y23" s="33">
        <f>IF(AP23="5",BI23,0)</f>
        <v>0</v>
      </c>
      <c r="AA23" s="33">
        <f>IF(AP23="1",BG23,0)</f>
        <v>0</v>
      </c>
      <c r="AB23" s="33">
        <f>IF(AP23="1",BH23,0)</f>
        <v>0</v>
      </c>
      <c r="AC23" s="33">
        <f>IF(AP23="7",BG23,0)</f>
        <v>0</v>
      </c>
      <c r="AD23" s="33">
        <f>IF(AP23="7",BH23,0)</f>
        <v>0</v>
      </c>
      <c r="AE23" s="33">
        <f>IF(AP23="2",BG23,0)</f>
        <v>0</v>
      </c>
      <c r="AF23" s="33">
        <f>IF(AP23="2",BH23,0)</f>
        <v>0</v>
      </c>
      <c r="AG23" s="33">
        <f>IF(AP23="0",BI23,0)</f>
        <v>0</v>
      </c>
      <c r="AH23" s="30"/>
      <c r="AI23" s="23">
        <f>IF(AM23=0,J23,0)</f>
        <v>0</v>
      </c>
      <c r="AJ23" s="23">
        <f>IF(AM23=15,J23,0)</f>
        <v>0</v>
      </c>
      <c r="AK23" s="23">
        <f>IF(AM23=21,J23,0)</f>
        <v>0</v>
      </c>
      <c r="AM23" s="33">
        <v>21</v>
      </c>
      <c r="AN23" s="33">
        <f>G23*0</f>
        <v>0</v>
      </c>
      <c r="AO23" s="33">
        <f>G23*(1-0)</f>
        <v>0</v>
      </c>
      <c r="AP23" s="34" t="s">
        <v>7</v>
      </c>
      <c r="AU23" s="33">
        <f>AV23+AW23</f>
        <v>0</v>
      </c>
      <c r="AV23" s="33">
        <f>F23*AN23</f>
        <v>0</v>
      </c>
      <c r="AW23" s="33">
        <f>F23*AO23</f>
        <v>0</v>
      </c>
      <c r="AX23" s="35" t="s">
        <v>102</v>
      </c>
      <c r="AY23" s="35" t="s">
        <v>109</v>
      </c>
      <c r="AZ23" s="30" t="s">
        <v>113</v>
      </c>
      <c r="BB23" s="33">
        <f>AV23+AW23</f>
        <v>0</v>
      </c>
      <c r="BC23" s="33">
        <f>G23/(100-BD23)*100</f>
        <v>0</v>
      </c>
      <c r="BD23" s="33">
        <v>0</v>
      </c>
      <c r="BE23" s="33">
        <f>L23</f>
        <v>0</v>
      </c>
      <c r="BG23" s="23">
        <f>F23*AN23</f>
        <v>0</v>
      </c>
      <c r="BH23" s="23">
        <f>F23*AO23</f>
        <v>0</v>
      </c>
      <c r="BI23" s="23">
        <f>F23*G23</f>
        <v>0</v>
      </c>
      <c r="BJ23" s="23" t="s">
        <v>118</v>
      </c>
      <c r="BK23" s="33" t="s">
        <v>22</v>
      </c>
    </row>
    <row r="24" spans="1:63" ht="25.65" customHeight="1" x14ac:dyDescent="0.3">
      <c r="A24" s="5"/>
      <c r="C24" s="16" t="s">
        <v>18</v>
      </c>
      <c r="D24" s="203" t="s">
        <v>50</v>
      </c>
      <c r="E24" s="204"/>
      <c r="F24" s="204"/>
      <c r="G24" s="204"/>
      <c r="H24" s="204"/>
      <c r="I24" s="204"/>
      <c r="J24" s="204"/>
      <c r="K24" s="204"/>
      <c r="L24" s="205"/>
      <c r="M24" s="72"/>
    </row>
    <row r="25" spans="1:63" x14ac:dyDescent="0.3">
      <c r="A25" s="87" t="s">
        <v>13</v>
      </c>
      <c r="B25" s="13"/>
      <c r="C25" s="13" t="s">
        <v>23</v>
      </c>
      <c r="D25" s="13" t="s">
        <v>51</v>
      </c>
      <c r="E25" s="13" t="s">
        <v>72</v>
      </c>
      <c r="F25" s="23">
        <v>1</v>
      </c>
      <c r="G25" s="255"/>
      <c r="H25" s="23">
        <f>F25*AN25</f>
        <v>0</v>
      </c>
      <c r="I25" s="23">
        <f>F25*AO25</f>
        <v>0</v>
      </c>
      <c r="J25" s="23">
        <f>F25*G25</f>
        <v>0</v>
      </c>
      <c r="K25" s="23">
        <v>0</v>
      </c>
      <c r="L25" s="96">
        <f>F25*K25</f>
        <v>0</v>
      </c>
      <c r="M25" s="72"/>
      <c r="Y25" s="33">
        <f>IF(AP25="5",BI25,0)</f>
        <v>0</v>
      </c>
      <c r="AA25" s="33">
        <f>IF(AP25="1",BG25,0)</f>
        <v>0</v>
      </c>
      <c r="AB25" s="33">
        <f>IF(AP25="1",BH25,0)</f>
        <v>0</v>
      </c>
      <c r="AC25" s="33">
        <f>IF(AP25="7",BG25,0)</f>
        <v>0</v>
      </c>
      <c r="AD25" s="33">
        <f>IF(AP25="7",BH25,0)</f>
        <v>0</v>
      </c>
      <c r="AE25" s="33">
        <f>IF(AP25="2",BG25,0)</f>
        <v>0</v>
      </c>
      <c r="AF25" s="33">
        <f>IF(AP25="2",BH25,0)</f>
        <v>0</v>
      </c>
      <c r="AG25" s="33">
        <f>IF(AP25="0",BI25,0)</f>
        <v>0</v>
      </c>
      <c r="AH25" s="30"/>
      <c r="AI25" s="23">
        <f>IF(AM25=0,J25,0)</f>
        <v>0</v>
      </c>
      <c r="AJ25" s="23">
        <f>IF(AM25=15,J25,0)</f>
        <v>0</v>
      </c>
      <c r="AK25" s="23">
        <f>IF(AM25=21,J25,0)</f>
        <v>0</v>
      </c>
      <c r="AM25" s="33">
        <v>21</v>
      </c>
      <c r="AN25" s="33">
        <f>G25*0</f>
        <v>0</v>
      </c>
      <c r="AO25" s="33">
        <f>G25*(1-0)</f>
        <v>0</v>
      </c>
      <c r="AP25" s="34" t="s">
        <v>7</v>
      </c>
      <c r="AU25" s="33">
        <f>AV25+AW25</f>
        <v>0</v>
      </c>
      <c r="AV25" s="33">
        <f>F25*AN25</f>
        <v>0</v>
      </c>
      <c r="AW25" s="33">
        <f>F25*AO25</f>
        <v>0</v>
      </c>
      <c r="AX25" s="35" t="s">
        <v>102</v>
      </c>
      <c r="AY25" s="35" t="s">
        <v>109</v>
      </c>
      <c r="AZ25" s="30" t="s">
        <v>113</v>
      </c>
      <c r="BB25" s="33">
        <f>AV25+AW25</f>
        <v>0</v>
      </c>
      <c r="BC25" s="33">
        <f>G25/(100-BD25)*100</f>
        <v>0</v>
      </c>
      <c r="BD25" s="33">
        <v>0</v>
      </c>
      <c r="BE25" s="33">
        <f>L25</f>
        <v>0</v>
      </c>
      <c r="BG25" s="23">
        <f>F25*AN25</f>
        <v>0</v>
      </c>
      <c r="BH25" s="23">
        <f>F25*AO25</f>
        <v>0</v>
      </c>
      <c r="BI25" s="23">
        <f>F25*G25</f>
        <v>0</v>
      </c>
      <c r="BJ25" s="23" t="s">
        <v>118</v>
      </c>
      <c r="BK25" s="33" t="s">
        <v>22</v>
      </c>
    </row>
    <row r="26" spans="1:63" ht="12.9" x14ac:dyDescent="0.3">
      <c r="A26" s="5"/>
      <c r="C26" s="16" t="s">
        <v>18</v>
      </c>
      <c r="D26" s="203" t="s">
        <v>52</v>
      </c>
      <c r="E26" s="204"/>
      <c r="F26" s="204"/>
      <c r="G26" s="204"/>
      <c r="H26" s="204"/>
      <c r="I26" s="204"/>
      <c r="J26" s="204"/>
      <c r="K26" s="204"/>
      <c r="L26" s="205"/>
      <c r="M26" s="72"/>
    </row>
    <row r="27" spans="1:63" x14ac:dyDescent="0.3">
      <c r="A27" s="6"/>
      <c r="B27" s="14"/>
      <c r="C27" s="14" t="s">
        <v>24</v>
      </c>
      <c r="D27" s="14" t="s">
        <v>53</v>
      </c>
      <c r="E27" s="22" t="s">
        <v>6</v>
      </c>
      <c r="F27" s="22" t="s">
        <v>6</v>
      </c>
      <c r="G27" s="22" t="s">
        <v>6</v>
      </c>
      <c r="H27" s="38">
        <f>SUM(H28:H28)</f>
        <v>0</v>
      </c>
      <c r="I27" s="38">
        <f>SUM(I28:I28)</f>
        <v>0</v>
      </c>
      <c r="J27" s="38">
        <f>SUM(J28:J28)</f>
        <v>0</v>
      </c>
      <c r="K27" s="30"/>
      <c r="L27" s="99">
        <f>SUM(L28:L28)</f>
        <v>0</v>
      </c>
      <c r="M27" s="72"/>
      <c r="AH27" s="30"/>
      <c r="AR27" s="38">
        <f>SUM(AI28:AI28)</f>
        <v>0</v>
      </c>
      <c r="AS27" s="38">
        <f>SUM(AJ28:AJ28)</f>
        <v>0</v>
      </c>
      <c r="AT27" s="38">
        <f>SUM(AK28:AK28)</f>
        <v>0</v>
      </c>
    </row>
    <row r="28" spans="1:63" x14ac:dyDescent="0.3">
      <c r="A28" s="88" t="s">
        <v>14</v>
      </c>
      <c r="B28" s="20"/>
      <c r="C28" s="20" t="s">
        <v>25</v>
      </c>
      <c r="D28" s="93" t="s">
        <v>54</v>
      </c>
      <c r="E28" s="93" t="s">
        <v>72</v>
      </c>
      <c r="F28" s="33">
        <v>1</v>
      </c>
      <c r="G28" s="257"/>
      <c r="H28" s="33">
        <f>F28*AN28</f>
        <v>0</v>
      </c>
      <c r="I28" s="33">
        <f>F28*AO28</f>
        <v>0</v>
      </c>
      <c r="J28" s="33">
        <f>F28*G28</f>
        <v>0</v>
      </c>
      <c r="K28" s="33">
        <v>0</v>
      </c>
      <c r="L28" s="54">
        <f>F28*K28</f>
        <v>0</v>
      </c>
      <c r="M28" s="72"/>
      <c r="Y28" s="33">
        <f>IF(AP28="5",BI28,0)</f>
        <v>0</v>
      </c>
      <c r="AA28" s="33">
        <f>IF(AP28="1",BG28,0)</f>
        <v>0</v>
      </c>
      <c r="AB28" s="33">
        <f>IF(AP28="1",BH28,0)</f>
        <v>0</v>
      </c>
      <c r="AC28" s="33">
        <f>IF(AP28="7",BG28,0)</f>
        <v>0</v>
      </c>
      <c r="AD28" s="33">
        <f>IF(AP28="7",BH28,0)</f>
        <v>0</v>
      </c>
      <c r="AE28" s="33">
        <f>IF(AP28="2",BG28,0)</f>
        <v>0</v>
      </c>
      <c r="AF28" s="33">
        <f>IF(AP28="2",BH28,0)</f>
        <v>0</v>
      </c>
      <c r="AG28" s="33">
        <f>IF(AP28="0",BI28,0)</f>
        <v>0</v>
      </c>
      <c r="AH28" s="30"/>
      <c r="AI28" s="23">
        <f>IF(AM28=0,J28,0)</f>
        <v>0</v>
      </c>
      <c r="AJ28" s="23">
        <f>IF(AM28=15,J28,0)</f>
        <v>0</v>
      </c>
      <c r="AK28" s="23">
        <f>IF(AM28=21,J28,0)</f>
        <v>0</v>
      </c>
      <c r="AM28" s="33">
        <v>21</v>
      </c>
      <c r="AN28" s="33">
        <f>G28*0</f>
        <v>0</v>
      </c>
      <c r="AO28" s="33">
        <f>G28*(1-0)</f>
        <v>0</v>
      </c>
      <c r="AP28" s="34" t="s">
        <v>7</v>
      </c>
      <c r="AU28" s="33">
        <f>AV28+AW28</f>
        <v>0</v>
      </c>
      <c r="AV28" s="33">
        <f>F28*AN28</f>
        <v>0</v>
      </c>
      <c r="AW28" s="33">
        <f>F28*AO28</f>
        <v>0</v>
      </c>
      <c r="AX28" s="35" t="s">
        <v>103</v>
      </c>
      <c r="AY28" s="35" t="s">
        <v>109</v>
      </c>
      <c r="AZ28" s="30" t="s">
        <v>113</v>
      </c>
      <c r="BB28" s="33">
        <f>AV28+AW28</f>
        <v>0</v>
      </c>
      <c r="BC28" s="33">
        <f>G28/(100-BD28)*100</f>
        <v>0</v>
      </c>
      <c r="BD28" s="33">
        <v>0</v>
      </c>
      <c r="BE28" s="33">
        <f>L28</f>
        <v>0</v>
      </c>
      <c r="BG28" s="23">
        <f>F28*AN28</f>
        <v>0</v>
      </c>
      <c r="BH28" s="23">
        <f>F28*AO28</f>
        <v>0</v>
      </c>
      <c r="BI28" s="23">
        <f>F28*G28</f>
        <v>0</v>
      </c>
      <c r="BJ28" s="23" t="s">
        <v>118</v>
      </c>
      <c r="BK28" s="33" t="s">
        <v>24</v>
      </c>
    </row>
    <row r="29" spans="1:63" ht="12.9" x14ac:dyDescent="0.3">
      <c r="A29" s="5"/>
      <c r="C29" s="16" t="s">
        <v>18</v>
      </c>
      <c r="D29" s="203" t="s">
        <v>55</v>
      </c>
      <c r="E29" s="204"/>
      <c r="F29" s="204"/>
      <c r="G29" s="204"/>
      <c r="H29" s="204"/>
      <c r="I29" s="204"/>
      <c r="J29" s="204"/>
      <c r="K29" s="204"/>
      <c r="L29" s="205"/>
      <c r="M29" s="72"/>
    </row>
    <row r="30" spans="1:63" x14ac:dyDescent="0.3">
      <c r="A30" s="6"/>
      <c r="B30" s="14"/>
      <c r="C30" s="14" t="s">
        <v>17</v>
      </c>
      <c r="D30" s="14" t="s">
        <v>56</v>
      </c>
      <c r="E30" s="22" t="s">
        <v>6</v>
      </c>
      <c r="F30" s="22" t="s">
        <v>6</v>
      </c>
      <c r="G30" s="22" t="s">
        <v>6</v>
      </c>
      <c r="H30" s="38">
        <f t="shared" ref="H30:I30" si="0">SUM(H31:H46)</f>
        <v>0</v>
      </c>
      <c r="I30" s="38">
        <f t="shared" si="0"/>
        <v>0</v>
      </c>
      <c r="J30" s="38">
        <f>SUM(J31:J46)</f>
        <v>0</v>
      </c>
      <c r="K30" s="30"/>
      <c r="L30" s="38">
        <f>SUM(L31:L46)</f>
        <v>525.70000000000005</v>
      </c>
      <c r="M30" s="72"/>
      <c r="AH30" s="30"/>
      <c r="AR30" s="38">
        <f>SUM(AI31:AI31)</f>
        <v>0</v>
      </c>
      <c r="AS30" s="38">
        <f>SUM(AJ31:AJ31)</f>
        <v>0</v>
      </c>
      <c r="AT30" s="38">
        <f>SUM(AK31:AK31)</f>
        <v>0</v>
      </c>
    </row>
    <row r="31" spans="1:63" x14ac:dyDescent="0.3">
      <c r="A31" s="87" t="s">
        <v>15</v>
      </c>
      <c r="B31" s="13"/>
      <c r="C31" s="94" t="s">
        <v>175</v>
      </c>
      <c r="D31" s="94" t="s">
        <v>260</v>
      </c>
      <c r="E31" s="13" t="s">
        <v>73</v>
      </c>
      <c r="F31" s="83">
        <v>3980</v>
      </c>
      <c r="G31" s="255"/>
      <c r="H31" s="83">
        <f>F31*AN31</f>
        <v>0</v>
      </c>
      <c r="I31" s="83">
        <f>F31*AO31</f>
        <v>0</v>
      </c>
      <c r="J31" s="83">
        <f>F31*G31</f>
        <v>0</v>
      </c>
      <c r="K31" s="83">
        <v>0.11</v>
      </c>
      <c r="L31" s="96">
        <f>F31*K31</f>
        <v>437.8</v>
      </c>
      <c r="M31" s="72"/>
      <c r="Y31" s="33">
        <f>IF(AP31="5",BI31,0)</f>
        <v>0</v>
      </c>
      <c r="AA31" s="33">
        <f>IF(AP31="1",BG31,0)</f>
        <v>0</v>
      </c>
      <c r="AB31" s="33">
        <f>IF(AP31="1",BH31,0)</f>
        <v>0</v>
      </c>
      <c r="AC31" s="33">
        <f>IF(AP31="7",BG31,0)</f>
        <v>0</v>
      </c>
      <c r="AD31" s="33">
        <f>IF(AP31="7",BH31,0)</f>
        <v>0</v>
      </c>
      <c r="AE31" s="33">
        <f>IF(AP31="2",BG31,0)</f>
        <v>0</v>
      </c>
      <c r="AF31" s="33">
        <f>IF(AP31="2",BH31,0)</f>
        <v>0</v>
      </c>
      <c r="AG31" s="33">
        <f>IF(AP31="0",BI31,0)</f>
        <v>0</v>
      </c>
      <c r="AH31" s="30"/>
      <c r="AI31" s="23">
        <f>IF(AM31=0,J31,0)</f>
        <v>0</v>
      </c>
      <c r="AJ31" s="23">
        <f>IF(AM31=15,J31,0)</f>
        <v>0</v>
      </c>
      <c r="AK31" s="23">
        <f>IF(AM31=21,J31,0)</f>
        <v>0</v>
      </c>
      <c r="AM31" s="33">
        <v>21</v>
      </c>
      <c r="AN31" s="33">
        <f>G31*0</f>
        <v>0</v>
      </c>
      <c r="AO31" s="33">
        <f>G31*(1-0)</f>
        <v>0</v>
      </c>
      <c r="AP31" s="34" t="s">
        <v>7</v>
      </c>
      <c r="AU31" s="33">
        <f>AV31+AW31</f>
        <v>0</v>
      </c>
      <c r="AV31" s="33">
        <f>F31*AN31</f>
        <v>0</v>
      </c>
      <c r="AW31" s="33">
        <f>F31*AO31</f>
        <v>0</v>
      </c>
      <c r="AX31" s="35" t="s">
        <v>104</v>
      </c>
      <c r="AY31" s="35" t="s">
        <v>110</v>
      </c>
      <c r="AZ31" s="30" t="s">
        <v>113</v>
      </c>
      <c r="BB31" s="33">
        <f>AV31+AW31</f>
        <v>0</v>
      </c>
      <c r="BC31" s="33">
        <f>G31/(100-BD31)*100</f>
        <v>0</v>
      </c>
      <c r="BD31" s="33">
        <v>0</v>
      </c>
      <c r="BE31" s="33">
        <f>L31</f>
        <v>437.8</v>
      </c>
      <c r="BG31" s="23">
        <f>F31*AN31</f>
        <v>0</v>
      </c>
      <c r="BH31" s="23">
        <f>F31*AO31</f>
        <v>0</v>
      </c>
      <c r="BI31" s="23">
        <f>F31*G31</f>
        <v>0</v>
      </c>
      <c r="BJ31" s="23" t="s">
        <v>118</v>
      </c>
      <c r="BK31" s="33">
        <v>11</v>
      </c>
    </row>
    <row r="32" spans="1:63" ht="12.9" x14ac:dyDescent="0.3">
      <c r="A32" s="5"/>
      <c r="C32" s="82" t="s">
        <v>18</v>
      </c>
      <c r="D32" s="1" t="s">
        <v>174</v>
      </c>
      <c r="E32" s="186"/>
      <c r="F32" s="186"/>
      <c r="G32" s="186"/>
      <c r="H32" s="186"/>
      <c r="I32" s="186"/>
      <c r="J32" s="186"/>
      <c r="K32" s="186"/>
      <c r="L32" s="187"/>
      <c r="M32" s="72"/>
    </row>
    <row r="33" spans="1:64" s="81" customFormat="1" x14ac:dyDescent="0.3">
      <c r="A33" s="5"/>
      <c r="C33" s="94" t="s">
        <v>175</v>
      </c>
      <c r="D33" s="258"/>
      <c r="E33" s="259"/>
      <c r="F33" s="255"/>
      <c r="G33" s="255"/>
      <c r="H33" s="255"/>
      <c r="I33" s="255"/>
      <c r="J33" s="255"/>
      <c r="K33" s="255"/>
      <c r="L33" s="260"/>
      <c r="M33" s="72"/>
    </row>
    <row r="34" spans="1:64" s="81" customFormat="1" ht="12.9" x14ac:dyDescent="0.3">
      <c r="A34" s="5"/>
      <c r="C34" s="82" t="s">
        <v>18</v>
      </c>
      <c r="D34" s="261"/>
      <c r="E34" s="262"/>
      <c r="F34" s="262"/>
      <c r="G34" s="262"/>
      <c r="H34" s="262"/>
      <c r="I34" s="262"/>
      <c r="J34" s="262"/>
      <c r="K34" s="262"/>
      <c r="L34" s="263"/>
      <c r="M34" s="72"/>
    </row>
    <row r="35" spans="1:64" s="128" customFormat="1" x14ac:dyDescent="0.3">
      <c r="A35" s="145" t="s">
        <v>16</v>
      </c>
      <c r="B35" s="130"/>
      <c r="C35" s="130" t="s">
        <v>210</v>
      </c>
      <c r="D35" s="143" t="s">
        <v>216</v>
      </c>
      <c r="E35" s="130" t="s">
        <v>73</v>
      </c>
      <c r="F35" s="142">
        <v>67</v>
      </c>
      <c r="G35" s="264"/>
      <c r="H35" s="142">
        <v>0</v>
      </c>
      <c r="I35" s="142">
        <f>F35*G35</f>
        <v>0</v>
      </c>
      <c r="J35" s="142">
        <f>F35*G35</f>
        <v>0</v>
      </c>
      <c r="K35" s="142">
        <v>0.22500000000000001</v>
      </c>
      <c r="L35" s="148">
        <f>F35*K35</f>
        <v>15.075000000000001</v>
      </c>
      <c r="M35" s="142"/>
      <c r="N35" s="144"/>
      <c r="O35" s="140"/>
      <c r="Z35" s="133">
        <f>IF(AQ35="5",BJ35,0)</f>
        <v>0</v>
      </c>
      <c r="AB35" s="133">
        <f>IF(AQ35="1",BH35,0)</f>
        <v>0</v>
      </c>
      <c r="AC35" s="133">
        <f>IF(AQ35="1",BI35,0)</f>
        <v>0</v>
      </c>
      <c r="AD35" s="133">
        <f>IF(AQ35="7",BH35,0)</f>
        <v>0</v>
      </c>
      <c r="AE35" s="133">
        <f>IF(AQ35="7",BI35,0)</f>
        <v>0</v>
      </c>
      <c r="AF35" s="133">
        <f>IF(AQ35="2",BH35,0)</f>
        <v>0</v>
      </c>
      <c r="AG35" s="133">
        <f>IF(AQ35="2",BI35,0)</f>
        <v>0</v>
      </c>
      <c r="AH35" s="133">
        <f>IF(AQ35="0",BJ35,0)</f>
        <v>0</v>
      </c>
      <c r="AI35" s="126" t="s">
        <v>193</v>
      </c>
      <c r="AJ35" s="142">
        <f>IF(AN35=0,K35,0)</f>
        <v>0</v>
      </c>
      <c r="AK35" s="142">
        <f>IF(AN35=15,K35,0)</f>
        <v>0</v>
      </c>
      <c r="AL35" s="142">
        <f>IF(AN35=21,K35,0)</f>
        <v>0.22500000000000001</v>
      </c>
      <c r="AN35" s="133">
        <v>21</v>
      </c>
      <c r="AO35" s="133">
        <f>H35*0</f>
        <v>0</v>
      </c>
      <c r="AP35" s="133">
        <f>H35*(1-0)</f>
        <v>0</v>
      </c>
      <c r="AQ35" s="144" t="s">
        <v>7</v>
      </c>
      <c r="AV35" s="133">
        <f>AW35+AX35</f>
        <v>0</v>
      </c>
      <c r="AW35" s="133">
        <f>G35*AO35</f>
        <v>0</v>
      </c>
      <c r="AX35" s="133">
        <f>G35*AP35</f>
        <v>0</v>
      </c>
      <c r="AY35" s="135" t="s">
        <v>104</v>
      </c>
      <c r="AZ35" s="135" t="s">
        <v>208</v>
      </c>
      <c r="BA35" s="126" t="s">
        <v>197</v>
      </c>
      <c r="BC35" s="133">
        <f>AW35+AX35</f>
        <v>0</v>
      </c>
      <c r="BD35" s="133">
        <f>H35/(100-BE35)*100</f>
        <v>0</v>
      </c>
      <c r="BE35" s="133">
        <v>0</v>
      </c>
      <c r="BF35" s="133">
        <f>M35</f>
        <v>0</v>
      </c>
      <c r="BH35" s="142">
        <f>G35*AO35</f>
        <v>0</v>
      </c>
      <c r="BI35" s="142">
        <f>G35*AP35</f>
        <v>0</v>
      </c>
      <c r="BJ35" s="142">
        <f>G35*H35</f>
        <v>0</v>
      </c>
      <c r="BK35" s="142" t="s">
        <v>118</v>
      </c>
      <c r="BL35" s="133">
        <v>11</v>
      </c>
    </row>
    <row r="36" spans="1:64" s="128" customFormat="1" ht="12.9" x14ac:dyDescent="0.3">
      <c r="A36" s="127"/>
      <c r="C36" s="146" t="s">
        <v>18</v>
      </c>
      <c r="D36" s="158" t="s">
        <v>223</v>
      </c>
      <c r="E36" s="150"/>
      <c r="F36" s="150"/>
      <c r="G36" s="150"/>
      <c r="H36" s="150"/>
      <c r="I36" s="150"/>
      <c r="J36" s="150"/>
      <c r="K36" s="150"/>
      <c r="L36" s="156"/>
      <c r="M36" s="150"/>
      <c r="N36" s="150"/>
      <c r="O36" s="140"/>
    </row>
    <row r="37" spans="1:64" s="128" customFormat="1" ht="12.9" x14ac:dyDescent="0.3">
      <c r="A37" s="4" t="s">
        <v>17</v>
      </c>
      <c r="B37" s="130"/>
      <c r="C37" s="130" t="s">
        <v>210</v>
      </c>
      <c r="D37" s="114" t="s">
        <v>224</v>
      </c>
      <c r="E37" s="130" t="s">
        <v>73</v>
      </c>
      <c r="F37" s="142">
        <v>5</v>
      </c>
      <c r="G37" s="264"/>
      <c r="H37" s="142">
        <v>0</v>
      </c>
      <c r="I37" s="142">
        <f>F37*G37</f>
        <v>0</v>
      </c>
      <c r="J37" s="142">
        <f>F37*G37</f>
        <v>0</v>
      </c>
      <c r="K37" s="142">
        <v>0.22500000000000001</v>
      </c>
      <c r="L37" s="148">
        <f>F37*K37</f>
        <v>1.125</v>
      </c>
      <c r="M37" s="150"/>
      <c r="N37" s="150"/>
      <c r="O37" s="140"/>
    </row>
    <row r="38" spans="1:64" s="128" customFormat="1" ht="25.75" x14ac:dyDescent="0.3">
      <c r="A38" s="127"/>
      <c r="C38" s="146" t="s">
        <v>18</v>
      </c>
      <c r="D38" s="158" t="s">
        <v>225</v>
      </c>
      <c r="E38" s="150"/>
      <c r="F38" s="150"/>
      <c r="G38" s="150"/>
      <c r="H38" s="150"/>
      <c r="I38" s="150"/>
      <c r="J38" s="150"/>
      <c r="K38" s="150"/>
      <c r="L38" s="156"/>
      <c r="M38" s="150"/>
      <c r="N38" s="150"/>
      <c r="O38" s="140"/>
    </row>
    <row r="39" spans="1:64" s="128" customFormat="1" ht="12.9" x14ac:dyDescent="0.3">
      <c r="A39" s="4" t="s">
        <v>209</v>
      </c>
      <c r="B39" s="130"/>
      <c r="C39" s="130" t="s">
        <v>210</v>
      </c>
      <c r="D39" s="114" t="s">
        <v>224</v>
      </c>
      <c r="E39" s="130" t="s">
        <v>73</v>
      </c>
      <c r="F39" s="142">
        <v>56</v>
      </c>
      <c r="G39" s="264"/>
      <c r="H39" s="142">
        <v>0</v>
      </c>
      <c r="I39" s="142">
        <f>F39*G39</f>
        <v>0</v>
      </c>
      <c r="J39" s="142">
        <f>F39*G39</f>
        <v>0</v>
      </c>
      <c r="K39" s="142">
        <v>0.22500000000000001</v>
      </c>
      <c r="L39" s="148">
        <f>F39*K39</f>
        <v>12.6</v>
      </c>
      <c r="M39" s="150"/>
      <c r="N39" s="150"/>
      <c r="O39" s="140"/>
    </row>
    <row r="40" spans="1:64" s="128" customFormat="1" ht="38.6" x14ac:dyDescent="0.3">
      <c r="A40" s="127"/>
      <c r="C40" s="146" t="s">
        <v>18</v>
      </c>
      <c r="D40" s="158" t="s">
        <v>227</v>
      </c>
      <c r="E40" s="150"/>
      <c r="F40" s="150"/>
      <c r="G40" s="150"/>
      <c r="H40" s="150"/>
      <c r="I40" s="150"/>
      <c r="J40" s="150"/>
      <c r="K40" s="150"/>
      <c r="L40" s="156"/>
      <c r="M40" s="150"/>
      <c r="N40" s="150"/>
      <c r="O40" s="140"/>
    </row>
    <row r="41" spans="1:64" s="128" customFormat="1" x14ac:dyDescent="0.3">
      <c r="A41" s="4" t="s">
        <v>177</v>
      </c>
      <c r="B41" s="130"/>
      <c r="C41" s="130" t="s">
        <v>214</v>
      </c>
      <c r="D41" s="143" t="s">
        <v>215</v>
      </c>
      <c r="E41" s="130" t="s">
        <v>74</v>
      </c>
      <c r="F41" s="142">
        <v>22</v>
      </c>
      <c r="G41" s="264"/>
      <c r="H41" s="142">
        <v>0</v>
      </c>
      <c r="I41" s="142">
        <f>F41*G41</f>
        <v>0</v>
      </c>
      <c r="J41" s="142">
        <f>F41*G41</f>
        <v>0</v>
      </c>
      <c r="K41" s="142">
        <v>0.27</v>
      </c>
      <c r="L41" s="148">
        <f>F41*K41</f>
        <v>5.94</v>
      </c>
      <c r="M41" s="142"/>
      <c r="N41" s="144"/>
      <c r="O41" s="140"/>
      <c r="Z41" s="133">
        <f>IF(AQ41="5",BJ41,0)</f>
        <v>0</v>
      </c>
      <c r="AB41" s="133">
        <f>IF(AQ41="1",BH41,0)</f>
        <v>0</v>
      </c>
      <c r="AC41" s="133">
        <f>IF(AQ41="1",BI41,0)</f>
        <v>0</v>
      </c>
      <c r="AD41" s="133">
        <f>IF(AQ41="7",BH41,0)</f>
        <v>0</v>
      </c>
      <c r="AE41" s="133">
        <f>IF(AQ41="7",BI41,0)</f>
        <v>0</v>
      </c>
      <c r="AF41" s="133">
        <f>IF(AQ41="2",BH41,0)</f>
        <v>0</v>
      </c>
      <c r="AG41" s="133">
        <f>IF(AQ41="2",BI41,0)</f>
        <v>0</v>
      </c>
      <c r="AH41" s="133">
        <f>IF(AQ41="0",BJ41,0)</f>
        <v>0</v>
      </c>
      <c r="AI41" s="126" t="s">
        <v>211</v>
      </c>
      <c r="AJ41" s="142">
        <f>IF(AN41=0,K41,0)</f>
        <v>0</v>
      </c>
      <c r="AK41" s="142">
        <f>IF(AN41=15,K41,0)</f>
        <v>0</v>
      </c>
      <c r="AL41" s="142">
        <f>IF(AN41=21,K41,0)</f>
        <v>0.27</v>
      </c>
      <c r="AN41" s="133">
        <v>21</v>
      </c>
      <c r="AO41" s="133">
        <f>H41*0</f>
        <v>0</v>
      </c>
      <c r="AP41" s="133">
        <f>H41*(1-0)</f>
        <v>0</v>
      </c>
      <c r="AQ41" s="144" t="s">
        <v>7</v>
      </c>
      <c r="AV41" s="133">
        <f>AW41+AX41</f>
        <v>0</v>
      </c>
      <c r="AW41" s="133">
        <f>G41*AO41</f>
        <v>0</v>
      </c>
      <c r="AX41" s="133">
        <f>G41*AP41</f>
        <v>0</v>
      </c>
      <c r="AY41" s="135" t="s">
        <v>104</v>
      </c>
      <c r="AZ41" s="135" t="s">
        <v>212</v>
      </c>
      <c r="BA41" s="126" t="s">
        <v>213</v>
      </c>
      <c r="BC41" s="133">
        <f>AW41+AX41</f>
        <v>0</v>
      </c>
      <c r="BD41" s="133">
        <f>H41/(100-BE41)*100</f>
        <v>0</v>
      </c>
      <c r="BE41" s="133">
        <v>0</v>
      </c>
      <c r="BF41" s="133">
        <f>M41</f>
        <v>0</v>
      </c>
      <c r="BH41" s="142">
        <f>G41*AO41</f>
        <v>0</v>
      </c>
      <c r="BI41" s="142">
        <f>G41*AP41</f>
        <v>0</v>
      </c>
      <c r="BJ41" s="142">
        <f>G41*H41</f>
        <v>0</v>
      </c>
      <c r="BK41" s="142" t="s">
        <v>118</v>
      </c>
      <c r="BL41" s="133">
        <v>11</v>
      </c>
    </row>
    <row r="42" spans="1:64" s="81" customFormat="1" ht="12.9" x14ac:dyDescent="0.3">
      <c r="A42" s="5"/>
      <c r="C42" s="82"/>
      <c r="D42" s="120"/>
      <c r="E42" s="119"/>
      <c r="F42" s="119"/>
      <c r="G42" s="119"/>
      <c r="H42" s="119"/>
      <c r="I42" s="119"/>
      <c r="J42" s="119"/>
      <c r="K42" s="119"/>
      <c r="L42" s="100"/>
      <c r="M42" s="72"/>
      <c r="N42" s="97"/>
    </row>
    <row r="43" spans="1:64" s="81" customFormat="1" x14ac:dyDescent="0.3">
      <c r="A43" s="4" t="s">
        <v>190</v>
      </c>
      <c r="B43" s="130"/>
      <c r="C43" s="13" t="s">
        <v>228</v>
      </c>
      <c r="D43" s="13" t="s">
        <v>229</v>
      </c>
      <c r="E43" s="130" t="s">
        <v>74</v>
      </c>
      <c r="F43" s="142">
        <v>16</v>
      </c>
      <c r="G43" s="264"/>
      <c r="H43" s="142">
        <v>0</v>
      </c>
      <c r="I43" s="142">
        <f>F43*G43</f>
        <v>0</v>
      </c>
      <c r="J43" s="142">
        <f>F43*G43</f>
        <v>0</v>
      </c>
      <c r="K43" s="142">
        <v>0.27</v>
      </c>
      <c r="L43" s="148">
        <f>F43*K43</f>
        <v>4.32</v>
      </c>
      <c r="M43" s="72"/>
    </row>
    <row r="44" spans="1:64" s="81" customFormat="1" ht="12.9" x14ac:dyDescent="0.3">
      <c r="A44" s="4"/>
      <c r="B44" s="130"/>
      <c r="C44" s="146" t="s">
        <v>18</v>
      </c>
      <c r="D44" s="158" t="s">
        <v>226</v>
      </c>
      <c r="E44" s="130"/>
      <c r="F44" s="142"/>
      <c r="G44" s="142"/>
      <c r="H44" s="142"/>
      <c r="I44" s="142"/>
      <c r="J44" s="142"/>
      <c r="K44" s="142"/>
      <c r="L44" s="148"/>
      <c r="M44" s="72"/>
    </row>
    <row r="45" spans="1:64" s="81" customFormat="1" x14ac:dyDescent="0.3">
      <c r="A45" s="4"/>
      <c r="B45" s="130"/>
      <c r="C45" s="130"/>
      <c r="D45" s="114"/>
      <c r="E45" s="130"/>
      <c r="F45" s="142"/>
      <c r="G45" s="142"/>
      <c r="H45" s="142"/>
      <c r="I45" s="142"/>
      <c r="J45" s="142"/>
      <c r="K45" s="142"/>
      <c r="L45" s="148"/>
      <c r="M45" s="72"/>
    </row>
    <row r="46" spans="1:64" s="81" customFormat="1" x14ac:dyDescent="0.3">
      <c r="A46" s="4" t="s">
        <v>252</v>
      </c>
      <c r="B46" s="130"/>
      <c r="C46" s="13" t="s">
        <v>230</v>
      </c>
      <c r="D46" s="13" t="s">
        <v>231</v>
      </c>
      <c r="E46" s="13" t="s">
        <v>73</v>
      </c>
      <c r="F46" s="83">
        <v>74</v>
      </c>
      <c r="G46" s="255"/>
      <c r="H46" s="83">
        <f>F46*AN46</f>
        <v>0</v>
      </c>
      <c r="I46" s="142">
        <f>F46*G46</f>
        <v>0</v>
      </c>
      <c r="J46" s="83">
        <f>F46*G46</f>
        <v>0</v>
      </c>
      <c r="K46" s="83">
        <v>0.66</v>
      </c>
      <c r="L46" s="96">
        <f>F46*K46</f>
        <v>48.84</v>
      </c>
      <c r="M46" s="72"/>
    </row>
    <row r="47" spans="1:64" s="81" customFormat="1" ht="13.3" thickBot="1" x14ac:dyDescent="0.35">
      <c r="A47" s="4"/>
      <c r="B47" s="130"/>
      <c r="C47" s="17" t="s">
        <v>26</v>
      </c>
      <c r="D47" s="1" t="s">
        <v>232</v>
      </c>
      <c r="E47" s="186"/>
      <c r="F47" s="186"/>
      <c r="G47" s="186"/>
      <c r="H47" s="186"/>
      <c r="I47" s="186"/>
      <c r="J47" s="186"/>
      <c r="K47" s="186"/>
      <c r="L47" s="187"/>
      <c r="M47" s="72"/>
    </row>
    <row r="48" spans="1:64" s="81" customFormat="1" ht="12.9" x14ac:dyDescent="0.3">
      <c r="A48" s="5"/>
      <c r="C48" s="82"/>
      <c r="D48" s="201"/>
      <c r="E48" s="220"/>
      <c r="F48" s="220"/>
      <c r="G48" s="220"/>
      <c r="H48" s="220"/>
      <c r="I48" s="220"/>
      <c r="J48" s="220"/>
      <c r="K48" s="220"/>
      <c r="L48" s="188"/>
      <c r="M48" s="72"/>
    </row>
    <row r="49" spans="1:63" s="81" customFormat="1" x14ac:dyDescent="0.3">
      <c r="A49" s="6"/>
      <c r="B49" s="14"/>
      <c r="C49" s="14" t="s">
        <v>27</v>
      </c>
      <c r="D49" s="90" t="s">
        <v>57</v>
      </c>
      <c r="E49" s="22" t="s">
        <v>6</v>
      </c>
      <c r="F49" s="22" t="s">
        <v>6</v>
      </c>
      <c r="G49" s="22" t="s">
        <v>6</v>
      </c>
      <c r="H49" s="38">
        <f>SUM(H50:H55)</f>
        <v>0</v>
      </c>
      <c r="I49" s="38">
        <f>SUM(I50:I55)</f>
        <v>0</v>
      </c>
      <c r="J49" s="38">
        <f>SUM(J50:J55)</f>
        <v>0</v>
      </c>
      <c r="K49" s="30"/>
      <c r="L49" s="38">
        <f>SUM(L50:L55)</f>
        <v>580.2953</v>
      </c>
      <c r="M49" s="72"/>
      <c r="N49" s="85"/>
      <c r="AH49" s="30"/>
      <c r="AR49" s="38">
        <f>SUM(AI50:AI83)</f>
        <v>0</v>
      </c>
      <c r="AS49" s="38">
        <f>SUM(AJ50:AJ83)</f>
        <v>0</v>
      </c>
      <c r="AT49" s="38">
        <f>SUM(AK50:AK83)</f>
        <v>86742.949680000005</v>
      </c>
    </row>
    <row r="50" spans="1:63" s="81" customFormat="1" x14ac:dyDescent="0.3">
      <c r="A50" s="4" t="s">
        <v>187</v>
      </c>
      <c r="B50" s="13"/>
      <c r="C50" s="13" t="s">
        <v>28</v>
      </c>
      <c r="D50" s="13" t="s">
        <v>58</v>
      </c>
      <c r="E50" s="13" t="s">
        <v>73</v>
      </c>
      <c r="F50" s="83">
        <v>4350</v>
      </c>
      <c r="G50" s="255"/>
      <c r="H50" s="83">
        <f>F50*AN50</f>
        <v>0</v>
      </c>
      <c r="I50" s="83">
        <f>F50*AO50</f>
        <v>0</v>
      </c>
      <c r="J50" s="83">
        <f>F50*G50</f>
        <v>0</v>
      </c>
      <c r="K50" s="83">
        <v>3.1E-4</v>
      </c>
      <c r="L50" s="96">
        <f>F50*K50</f>
        <v>1.3485</v>
      </c>
      <c r="M50" s="72"/>
      <c r="Y50" s="33">
        <f>IF(AP50="5",BI50,0)</f>
        <v>0</v>
      </c>
      <c r="AA50" s="33">
        <f>IF(AP50="1",BG50,0)</f>
        <v>0</v>
      </c>
      <c r="AB50" s="33">
        <f>IF(AP50="1",BH50,0)</f>
        <v>0</v>
      </c>
      <c r="AC50" s="33">
        <f>IF(AP50="7",BG50,0)</f>
        <v>0</v>
      </c>
      <c r="AD50" s="33">
        <f>IF(AP50="7",BH50,0)</f>
        <v>0</v>
      </c>
      <c r="AE50" s="33">
        <f>IF(AP50="2",BG50,0)</f>
        <v>0</v>
      </c>
      <c r="AF50" s="33">
        <f>IF(AP50="2",BH50,0)</f>
        <v>0</v>
      </c>
      <c r="AG50" s="33">
        <f>IF(AP50="0",BI50,0)</f>
        <v>0</v>
      </c>
      <c r="AH50" s="30"/>
      <c r="AI50" s="83">
        <f>IF(AM50=0,J50,0)</f>
        <v>0</v>
      </c>
      <c r="AJ50" s="83">
        <f>IF(AM50=15,J50,0)</f>
        <v>0</v>
      </c>
      <c r="AK50" s="83">
        <f>IF(AM50=21,J50,0)</f>
        <v>0</v>
      </c>
      <c r="AM50" s="33">
        <v>21</v>
      </c>
      <c r="AN50" s="33">
        <f>G50*0.861735602860608</f>
        <v>0</v>
      </c>
      <c r="AO50" s="33">
        <f>G50*(1-0.861735602860608)</f>
        <v>0</v>
      </c>
      <c r="AP50" s="34" t="s">
        <v>7</v>
      </c>
      <c r="AU50" s="33">
        <f>AV50+AW50</f>
        <v>0</v>
      </c>
      <c r="AV50" s="33">
        <f>F50*AN50</f>
        <v>0</v>
      </c>
      <c r="AW50" s="33">
        <f>F50*AO50</f>
        <v>0</v>
      </c>
      <c r="AX50" s="35" t="s">
        <v>105</v>
      </c>
      <c r="AY50" s="35" t="s">
        <v>111</v>
      </c>
      <c r="AZ50" s="30" t="s">
        <v>113</v>
      </c>
      <c r="BB50" s="33">
        <f>AV50+AW50</f>
        <v>0</v>
      </c>
      <c r="BC50" s="33">
        <f>G50/(100-BD50)*100</f>
        <v>0</v>
      </c>
      <c r="BD50" s="33">
        <v>0</v>
      </c>
      <c r="BE50" s="33">
        <f>L50</f>
        <v>1.3485</v>
      </c>
      <c r="BG50" s="83">
        <f>F50*AN50</f>
        <v>0</v>
      </c>
      <c r="BH50" s="83">
        <f>F50*AO50</f>
        <v>0</v>
      </c>
      <c r="BI50" s="83">
        <f>F50*G50</f>
        <v>0</v>
      </c>
      <c r="BJ50" s="83" t="s">
        <v>118</v>
      </c>
      <c r="BK50" s="33">
        <v>57</v>
      </c>
    </row>
    <row r="51" spans="1:63" ht="12.9" x14ac:dyDescent="0.3">
      <c r="A51" s="5"/>
      <c r="C51" s="17" t="s">
        <v>26</v>
      </c>
      <c r="D51" s="1" t="s">
        <v>59</v>
      </c>
      <c r="E51" s="186"/>
      <c r="F51" s="186"/>
      <c r="G51" s="186"/>
      <c r="H51" s="186"/>
      <c r="I51" s="186"/>
      <c r="J51" s="186"/>
      <c r="K51" s="186"/>
      <c r="L51" s="187"/>
      <c r="M51" s="72"/>
    </row>
    <row r="52" spans="1:63" s="81" customFormat="1" ht="12.9" x14ac:dyDescent="0.3">
      <c r="A52" s="5"/>
      <c r="C52" s="17"/>
      <c r="D52" s="93"/>
      <c r="E52" s="104"/>
      <c r="F52" s="104"/>
      <c r="G52" s="104"/>
      <c r="H52" s="104"/>
      <c r="I52" s="104"/>
      <c r="J52" s="104"/>
      <c r="K52" s="104"/>
      <c r="L52" s="100"/>
      <c r="M52" s="72"/>
    </row>
    <row r="53" spans="1:63" s="81" customFormat="1" x14ac:dyDescent="0.3">
      <c r="A53" s="4" t="s">
        <v>188</v>
      </c>
      <c r="B53" s="13"/>
      <c r="C53" s="13" t="s">
        <v>185</v>
      </c>
      <c r="D53" s="13" t="s">
        <v>235</v>
      </c>
      <c r="E53" s="13" t="s">
        <v>73</v>
      </c>
      <c r="F53" s="83">
        <v>350</v>
      </c>
      <c r="G53" s="255"/>
      <c r="H53" s="83">
        <f>F53*AN53</f>
        <v>0</v>
      </c>
      <c r="I53" s="83">
        <f>F53*AO53</f>
        <v>0</v>
      </c>
      <c r="J53" s="83">
        <f>F53*G53</f>
        <v>0</v>
      </c>
      <c r="K53" s="83">
        <v>0.17</v>
      </c>
      <c r="L53" s="96">
        <f>F53*K53</f>
        <v>59.500000000000007</v>
      </c>
      <c r="M53" s="72"/>
      <c r="Y53" s="33">
        <f>IF(AP53="5",BI53,0)</f>
        <v>0</v>
      </c>
      <c r="AA53" s="33">
        <f>IF(AP53="1",BG53,0)</f>
        <v>0</v>
      </c>
      <c r="AB53" s="33">
        <f>IF(AP53="1",BH53,0)</f>
        <v>0</v>
      </c>
      <c r="AC53" s="33">
        <f>IF(AP53="7",BG53,0)</f>
        <v>0</v>
      </c>
      <c r="AD53" s="33">
        <f>IF(AP53="7",BH53,0)</f>
        <v>0</v>
      </c>
      <c r="AE53" s="33">
        <f>IF(AP53="2",BG53,0)</f>
        <v>0</v>
      </c>
      <c r="AF53" s="33">
        <f>IF(AP53="2",BH53,0)</f>
        <v>0</v>
      </c>
      <c r="AG53" s="33">
        <f>IF(AP53="0",BI53,0)</f>
        <v>0</v>
      </c>
      <c r="AH53" s="30"/>
      <c r="AI53" s="83">
        <f>IF(AM53=0,J53,0)</f>
        <v>0</v>
      </c>
      <c r="AJ53" s="83">
        <f>IF(AM53=15,J53,0)</f>
        <v>0</v>
      </c>
      <c r="AK53" s="83">
        <f>IF(AM53=21,J53,0)</f>
        <v>0</v>
      </c>
      <c r="AM53" s="33">
        <v>21</v>
      </c>
      <c r="AN53" s="33">
        <f>G53*0.598633333333333</f>
        <v>0</v>
      </c>
      <c r="AO53" s="33">
        <f>G53*(1-0.598633333333333)</f>
        <v>0</v>
      </c>
      <c r="AP53" s="34" t="s">
        <v>7</v>
      </c>
      <c r="AU53" s="33">
        <f>AV53+AW53</f>
        <v>0</v>
      </c>
      <c r="AV53" s="33">
        <f>F53*AN53</f>
        <v>0</v>
      </c>
      <c r="AW53" s="33">
        <f>F53*AO53</f>
        <v>0</v>
      </c>
      <c r="AX53" s="35" t="s">
        <v>105</v>
      </c>
      <c r="AY53" s="35" t="s">
        <v>111</v>
      </c>
      <c r="AZ53" s="30" t="s">
        <v>113</v>
      </c>
      <c r="BB53" s="33">
        <f>AV53+AW53</f>
        <v>0</v>
      </c>
      <c r="BC53" s="33">
        <f>G53/(100-BD53)*100</f>
        <v>0</v>
      </c>
      <c r="BD53" s="33">
        <v>0</v>
      </c>
      <c r="BE53" s="33">
        <f>L53</f>
        <v>59.500000000000007</v>
      </c>
      <c r="BG53" s="83">
        <f>F53*AN53</f>
        <v>0</v>
      </c>
      <c r="BH53" s="83">
        <f>F53*AO53</f>
        <v>0</v>
      </c>
      <c r="BI53" s="83">
        <f>F53*G53</f>
        <v>0</v>
      </c>
      <c r="BJ53" s="83" t="s">
        <v>118</v>
      </c>
      <c r="BK53" s="33">
        <v>57</v>
      </c>
    </row>
    <row r="54" spans="1:63" s="81" customFormat="1" x14ac:dyDescent="0.3">
      <c r="A54" s="4" t="s">
        <v>189</v>
      </c>
      <c r="B54" s="13"/>
      <c r="C54" s="13" t="s">
        <v>234</v>
      </c>
      <c r="D54" s="13" t="s">
        <v>186</v>
      </c>
      <c r="E54" s="13" t="s">
        <v>73</v>
      </c>
      <c r="F54" s="83">
        <v>20</v>
      </c>
      <c r="G54" s="255"/>
      <c r="H54" s="83">
        <f>G54*F54*0.6</f>
        <v>0</v>
      </c>
      <c r="I54" s="83">
        <f>G54*F54*0.4</f>
        <v>0</v>
      </c>
      <c r="J54" s="83">
        <f>F54*G54</f>
        <v>0</v>
      </c>
      <c r="K54" s="83">
        <v>0.17</v>
      </c>
      <c r="L54" s="96">
        <f>F54*K54</f>
        <v>3.4000000000000004</v>
      </c>
      <c r="M54" s="72"/>
      <c r="Y54" s="33"/>
      <c r="AA54" s="33"/>
      <c r="AB54" s="33"/>
      <c r="AC54" s="33"/>
      <c r="AD54" s="33"/>
      <c r="AE54" s="33"/>
      <c r="AF54" s="33"/>
      <c r="AG54" s="33"/>
      <c r="AH54" s="30"/>
      <c r="AI54" s="83"/>
      <c r="AJ54" s="83"/>
      <c r="AK54" s="83"/>
      <c r="AM54" s="33"/>
      <c r="AN54" s="33"/>
      <c r="AO54" s="33"/>
      <c r="AP54" s="34"/>
      <c r="AU54" s="33"/>
      <c r="AV54" s="33"/>
      <c r="AW54" s="33"/>
      <c r="AX54" s="35"/>
      <c r="AY54" s="35"/>
      <c r="AZ54" s="30"/>
      <c r="BB54" s="33"/>
      <c r="BC54" s="33"/>
      <c r="BD54" s="33"/>
      <c r="BE54" s="33"/>
      <c r="BG54" s="83"/>
      <c r="BH54" s="83"/>
      <c r="BI54" s="83"/>
      <c r="BJ54" s="83"/>
      <c r="BK54" s="33"/>
    </row>
    <row r="55" spans="1:63" s="81" customFormat="1" ht="37.299999999999997" x14ac:dyDescent="0.3">
      <c r="A55" s="4" t="s">
        <v>296</v>
      </c>
      <c r="B55" s="13"/>
      <c r="C55" s="95" t="s">
        <v>233</v>
      </c>
      <c r="D55" s="171" t="s">
        <v>261</v>
      </c>
      <c r="E55" s="13" t="s">
        <v>73</v>
      </c>
      <c r="F55" s="83">
        <v>3980</v>
      </c>
      <c r="G55" s="255"/>
      <c r="H55" s="83">
        <f>F55*AN55</f>
        <v>0</v>
      </c>
      <c r="I55" s="83">
        <f>F55*AO55</f>
        <v>0</v>
      </c>
      <c r="J55" s="83">
        <f>F55*G55</f>
        <v>0</v>
      </c>
      <c r="K55" s="83">
        <v>0.12966</v>
      </c>
      <c r="L55" s="96">
        <f>F55*K55</f>
        <v>516.04679999999996</v>
      </c>
      <c r="M55" s="72"/>
      <c r="Y55" s="33">
        <f>IF(AP55="5",BI55,0)</f>
        <v>0</v>
      </c>
      <c r="AA55" s="33">
        <f>IF(AP55="1",BG55,0)</f>
        <v>0</v>
      </c>
      <c r="AB55" s="33">
        <f>IF(AP55="1",BH55,0)</f>
        <v>0</v>
      </c>
      <c r="AC55" s="33">
        <f>IF(AP55="7",BG55,0)</f>
        <v>0</v>
      </c>
      <c r="AD55" s="33">
        <f>IF(AP55="7",BH55,0)</f>
        <v>0</v>
      </c>
      <c r="AE55" s="33">
        <f>IF(AP55="2",BG55,0)</f>
        <v>0</v>
      </c>
      <c r="AF55" s="33">
        <f>IF(AP55="2",BH55,0)</f>
        <v>0</v>
      </c>
      <c r="AG55" s="33">
        <f>IF(AP55="0",BI55,0)</f>
        <v>0</v>
      </c>
      <c r="AH55" s="30"/>
      <c r="AI55" s="83">
        <f>IF(AM55=0,J55,0)</f>
        <v>0</v>
      </c>
      <c r="AJ55" s="83">
        <f>IF(AM55=15,J55,0)</f>
        <v>0</v>
      </c>
      <c r="AK55" s="83">
        <f>IF(AM55=21,J55,0)</f>
        <v>0</v>
      </c>
      <c r="AM55" s="33">
        <v>21</v>
      </c>
      <c r="AN55" s="33">
        <f>G55*0.638098676293622</f>
        <v>0</v>
      </c>
      <c r="AO55" s="33">
        <f>G55*(1-0.638098676293622)</f>
        <v>0</v>
      </c>
      <c r="AP55" s="34" t="s">
        <v>7</v>
      </c>
      <c r="AU55" s="33">
        <f>AV55+AW55</f>
        <v>0</v>
      </c>
      <c r="AV55" s="33">
        <f>F55*AN55</f>
        <v>0</v>
      </c>
      <c r="AW55" s="33">
        <f>F55*AO55</f>
        <v>0</v>
      </c>
      <c r="AX55" s="35" t="s">
        <v>105</v>
      </c>
      <c r="AY55" s="35" t="s">
        <v>111</v>
      </c>
      <c r="AZ55" s="30" t="s">
        <v>113</v>
      </c>
      <c r="BB55" s="33">
        <f>AV55+AW55</f>
        <v>0</v>
      </c>
      <c r="BC55" s="33">
        <f>G55/(100-BD55)*100</f>
        <v>0</v>
      </c>
      <c r="BD55" s="33">
        <v>0</v>
      </c>
      <c r="BE55" s="33">
        <f>L55</f>
        <v>516.04679999999996</v>
      </c>
      <c r="BG55" s="83">
        <f>F55*AN55</f>
        <v>0</v>
      </c>
      <c r="BH55" s="83">
        <f>F55*AO55</f>
        <v>0</v>
      </c>
      <c r="BI55" s="83">
        <f>F55*G55</f>
        <v>0</v>
      </c>
      <c r="BJ55" s="83" t="s">
        <v>118</v>
      </c>
      <c r="BK55" s="33">
        <v>57</v>
      </c>
    </row>
    <row r="56" spans="1:63" s="81" customFormat="1" ht="12.9" x14ac:dyDescent="0.3">
      <c r="A56" s="5"/>
      <c r="D56" s="19"/>
      <c r="E56" s="97"/>
      <c r="F56" s="24"/>
      <c r="G56" s="97"/>
      <c r="H56" s="97"/>
      <c r="I56" s="97"/>
      <c r="J56" s="97"/>
      <c r="K56" s="97"/>
      <c r="L56" s="98"/>
      <c r="M56" s="72"/>
    </row>
    <row r="57" spans="1:63" s="81" customFormat="1" x14ac:dyDescent="0.3">
      <c r="A57" s="6"/>
      <c r="B57" s="14"/>
      <c r="C57" s="14" t="s">
        <v>236</v>
      </c>
      <c r="D57" s="14" t="s">
        <v>237</v>
      </c>
      <c r="E57" s="22" t="s">
        <v>6</v>
      </c>
      <c r="F57" s="22" t="s">
        <v>6</v>
      </c>
      <c r="G57" s="22" t="s">
        <v>6</v>
      </c>
      <c r="H57" s="38">
        <f>SUM(H58:H70)</f>
        <v>0</v>
      </c>
      <c r="I57" s="38">
        <f>SUM(I58:I70)</f>
        <v>0</v>
      </c>
      <c r="J57" s="38">
        <f>SUM(J58:J70)</f>
        <v>0</v>
      </c>
      <c r="K57" s="30"/>
      <c r="L57" s="38">
        <f>SUM(L58:L70)</f>
        <v>111.78660000000002</v>
      </c>
      <c r="M57" s="5"/>
      <c r="AH57" s="30"/>
      <c r="AR57" s="38">
        <f>SUM(AI58:AI58)</f>
        <v>0</v>
      </c>
      <c r="AS57" s="38">
        <f>SUM(AJ58:AJ58)</f>
        <v>0</v>
      </c>
      <c r="AT57" s="38">
        <f>SUM(AK58:AK58)</f>
        <v>0</v>
      </c>
    </row>
    <row r="58" spans="1:63" s="81" customFormat="1" x14ac:dyDescent="0.3">
      <c r="A58" s="4" t="s">
        <v>297</v>
      </c>
      <c r="B58" s="13"/>
      <c r="C58" s="13" t="s">
        <v>238</v>
      </c>
      <c r="D58" s="13" t="s">
        <v>239</v>
      </c>
      <c r="E58" s="13" t="s">
        <v>73</v>
      </c>
      <c r="F58" s="83">
        <v>74</v>
      </c>
      <c r="G58" s="255"/>
      <c r="H58" s="83">
        <f>F58*AN58</f>
        <v>0</v>
      </c>
      <c r="I58" s="83">
        <f>F58*AO58</f>
        <v>0</v>
      </c>
      <c r="J58" s="83">
        <f>F58*G58</f>
        <v>0</v>
      </c>
      <c r="K58" s="83">
        <v>0.52859</v>
      </c>
      <c r="L58" s="83">
        <f>F58*K58</f>
        <v>39.115659999999998</v>
      </c>
      <c r="M58" s="5"/>
      <c r="Y58" s="33">
        <f>IF(AP58="5",BI58,0)</f>
        <v>0</v>
      </c>
      <c r="AA58" s="33">
        <f>IF(AP58="1",BG58,0)</f>
        <v>0</v>
      </c>
      <c r="AB58" s="33">
        <f>IF(AP58="1",BH58,0)</f>
        <v>0</v>
      </c>
      <c r="AC58" s="33">
        <f>IF(AP58="7",BG58,0)</f>
        <v>0</v>
      </c>
      <c r="AD58" s="33">
        <f>IF(AP58="7",BH58,0)</f>
        <v>0</v>
      </c>
      <c r="AE58" s="33">
        <f>IF(AP58="2",BG58,0)</f>
        <v>0</v>
      </c>
      <c r="AF58" s="33">
        <f>IF(AP58="2",BH58,0)</f>
        <v>0</v>
      </c>
      <c r="AG58" s="33">
        <f>IF(AP58="0",BI58,0)</f>
        <v>0</v>
      </c>
      <c r="AH58" s="30"/>
      <c r="AI58" s="83">
        <f>IF(AM58=0,J58,0)</f>
        <v>0</v>
      </c>
      <c r="AJ58" s="83">
        <f>IF(AM58=15,J58,0)</f>
        <v>0</v>
      </c>
      <c r="AK58" s="83">
        <f>IF(AM58=21,J58,0)</f>
        <v>0</v>
      </c>
      <c r="AM58" s="33">
        <v>21</v>
      </c>
      <c r="AN58" s="33">
        <f>G58*0.745988647114475</f>
        <v>0</v>
      </c>
      <c r="AO58" s="33">
        <f>G58*(1-0.745988647114475)</f>
        <v>0</v>
      </c>
      <c r="AP58" s="34" t="s">
        <v>7</v>
      </c>
      <c r="AU58" s="33">
        <f>AV58+AW58</f>
        <v>0</v>
      </c>
      <c r="AV58" s="33">
        <f>F58*AN58</f>
        <v>0</v>
      </c>
      <c r="AW58" s="33">
        <f>F58*AO58</f>
        <v>0</v>
      </c>
      <c r="AX58" s="35" t="s">
        <v>240</v>
      </c>
      <c r="AY58" s="35" t="s">
        <v>111</v>
      </c>
      <c r="AZ58" s="30" t="s">
        <v>113</v>
      </c>
      <c r="BB58" s="33">
        <f>AV58+AW58</f>
        <v>0</v>
      </c>
      <c r="BC58" s="33">
        <f>G58/(100-BD58)*100</f>
        <v>0</v>
      </c>
      <c r="BD58" s="33">
        <v>0</v>
      </c>
      <c r="BE58" s="33">
        <f>L58</f>
        <v>39.115659999999998</v>
      </c>
      <c r="BG58" s="83">
        <f>F58*AN58</f>
        <v>0</v>
      </c>
      <c r="BH58" s="83">
        <f>F58*AO58</f>
        <v>0</v>
      </c>
      <c r="BI58" s="83">
        <f>F58*G58</f>
        <v>0</v>
      </c>
      <c r="BJ58" s="83" t="s">
        <v>118</v>
      </c>
      <c r="BK58" s="33">
        <v>58</v>
      </c>
    </row>
    <row r="59" spans="1:63" s="81" customFormat="1" ht="25.85" customHeight="1" x14ac:dyDescent="0.3">
      <c r="A59" s="5"/>
      <c r="C59" s="17" t="s">
        <v>26</v>
      </c>
      <c r="D59" s="217" t="s">
        <v>290</v>
      </c>
      <c r="E59" s="218"/>
      <c r="F59" s="218"/>
      <c r="G59" s="218"/>
      <c r="H59" s="218"/>
      <c r="I59" s="218"/>
      <c r="J59" s="218"/>
      <c r="K59" s="218"/>
      <c r="L59" s="219"/>
      <c r="M59" s="5"/>
    </row>
    <row r="60" spans="1:63" s="81" customFormat="1" x14ac:dyDescent="0.3">
      <c r="A60" s="174" t="s">
        <v>218</v>
      </c>
      <c r="B60" s="163"/>
      <c r="C60" s="163" t="s">
        <v>274</v>
      </c>
      <c r="D60" s="163" t="s">
        <v>282</v>
      </c>
      <c r="E60" s="163" t="s">
        <v>73</v>
      </c>
      <c r="F60" s="164">
        <v>74</v>
      </c>
      <c r="G60" s="265"/>
      <c r="H60" s="83">
        <f>F60*G60*0.9</f>
        <v>0</v>
      </c>
      <c r="I60" s="83">
        <f>F60*G60*0.1</f>
        <v>0</v>
      </c>
      <c r="J60" s="83">
        <f>F60*G60</f>
        <v>0</v>
      </c>
      <c r="K60" s="109">
        <v>0.55000000000000004</v>
      </c>
      <c r="L60" s="96">
        <f>F60*K60</f>
        <v>40.700000000000003</v>
      </c>
      <c r="M60" s="175"/>
      <c r="N60" s="176"/>
      <c r="O60" s="176"/>
      <c r="P60" s="176"/>
      <c r="Q60" s="176"/>
      <c r="R60" s="176"/>
      <c r="S60" s="176"/>
      <c r="T60" s="176"/>
      <c r="U60" s="176"/>
      <c r="V60" s="176"/>
      <c r="W60" s="176"/>
      <c r="X60" s="176"/>
      <c r="Y60" s="177">
        <v>0</v>
      </c>
      <c r="Z60" s="176"/>
      <c r="AA60" s="177">
        <v>24136.415999999997</v>
      </c>
      <c r="AB60" s="177">
        <v>3211.5840000000026</v>
      </c>
      <c r="AC60" s="177">
        <v>0</v>
      </c>
      <c r="AD60" s="177">
        <v>0</v>
      </c>
      <c r="AE60" s="177">
        <v>0</v>
      </c>
      <c r="AF60" s="177">
        <v>0</v>
      </c>
      <c r="AG60" s="177">
        <v>0</v>
      </c>
      <c r="AH60" s="178"/>
      <c r="AI60" s="164">
        <v>0</v>
      </c>
      <c r="AJ60" s="164">
        <v>0</v>
      </c>
      <c r="AK60" s="164">
        <v>27348</v>
      </c>
      <c r="AL60" s="176"/>
      <c r="AM60" s="177">
        <v>21</v>
      </c>
      <c r="AN60" s="177">
        <v>233.87999999999997</v>
      </c>
      <c r="AO60" s="177">
        <v>31.120000000000026</v>
      </c>
      <c r="AP60" s="179" t="s">
        <v>7</v>
      </c>
      <c r="AQ60" s="176"/>
      <c r="AR60" s="176"/>
      <c r="AS60" s="176"/>
      <c r="AT60" s="176"/>
      <c r="AU60" s="177">
        <v>27348</v>
      </c>
      <c r="AV60" s="177">
        <v>24136.415999999997</v>
      </c>
      <c r="AW60" s="177">
        <v>3211.5840000000026</v>
      </c>
      <c r="AX60" s="180" t="s">
        <v>288</v>
      </c>
      <c r="AY60" s="180" t="s">
        <v>111</v>
      </c>
      <c r="AZ60" s="178" t="s">
        <v>113</v>
      </c>
      <c r="BA60" s="176"/>
      <c r="BB60" s="177">
        <v>27348</v>
      </c>
      <c r="BC60" s="177">
        <v>265</v>
      </c>
      <c r="BD60" s="177">
        <v>0</v>
      </c>
      <c r="BE60" s="177">
        <v>56.889000000000003</v>
      </c>
      <c r="BF60" s="176"/>
      <c r="BG60" s="164">
        <v>24136.415999999997</v>
      </c>
      <c r="BH60" s="164">
        <v>3211.5840000000026</v>
      </c>
      <c r="BI60" s="164">
        <v>27348</v>
      </c>
      <c r="BJ60" s="164" t="s">
        <v>118</v>
      </c>
      <c r="BK60" s="177">
        <v>56</v>
      </c>
    </row>
    <row r="61" spans="1:63" s="81" customFormat="1" ht="12.9" x14ac:dyDescent="0.3">
      <c r="A61" s="175"/>
      <c r="B61" s="176"/>
      <c r="C61" s="181" t="s">
        <v>26</v>
      </c>
      <c r="D61" s="221" t="s">
        <v>281</v>
      </c>
      <c r="E61" s="222"/>
      <c r="F61" s="222"/>
      <c r="G61" s="222"/>
      <c r="H61" s="222"/>
      <c r="I61" s="222"/>
      <c r="J61" s="222"/>
      <c r="K61" s="222"/>
      <c r="L61" s="222"/>
      <c r="M61" s="175"/>
      <c r="N61" s="176"/>
      <c r="O61" s="176"/>
      <c r="P61" s="176"/>
      <c r="Q61" s="176"/>
      <c r="R61" s="176"/>
      <c r="S61" s="176"/>
      <c r="T61" s="176"/>
      <c r="U61" s="176"/>
      <c r="V61" s="176"/>
      <c r="W61" s="176"/>
      <c r="X61" s="176"/>
      <c r="Y61" s="176"/>
      <c r="Z61" s="176"/>
      <c r="AA61" s="176"/>
      <c r="AB61" s="176"/>
      <c r="AC61" s="176"/>
      <c r="AD61" s="176"/>
      <c r="AE61" s="176"/>
      <c r="AF61" s="176"/>
      <c r="AG61" s="176"/>
      <c r="AH61" s="176"/>
      <c r="AI61" s="176"/>
      <c r="AJ61" s="176"/>
      <c r="AK61" s="176"/>
      <c r="AL61" s="176"/>
      <c r="AM61" s="176"/>
      <c r="AN61" s="176"/>
      <c r="AO61" s="176"/>
      <c r="AP61" s="176"/>
      <c r="AQ61" s="176"/>
      <c r="AR61" s="176"/>
      <c r="AS61" s="176"/>
      <c r="AT61" s="176"/>
      <c r="AU61" s="176"/>
      <c r="AV61" s="176"/>
      <c r="AW61" s="176"/>
      <c r="AX61" s="176"/>
      <c r="AY61" s="176"/>
      <c r="AZ61" s="176"/>
      <c r="BA61" s="176"/>
      <c r="BB61" s="176"/>
      <c r="BC61" s="176"/>
      <c r="BD61" s="176"/>
      <c r="BE61" s="176"/>
      <c r="BF61" s="176"/>
      <c r="BG61" s="176"/>
      <c r="BH61" s="176"/>
      <c r="BI61" s="176"/>
      <c r="BJ61" s="176"/>
      <c r="BK61" s="176"/>
    </row>
    <row r="62" spans="1:63" s="81" customFormat="1" x14ac:dyDescent="0.3">
      <c r="A62" s="174" t="s">
        <v>298</v>
      </c>
      <c r="B62" s="163"/>
      <c r="C62" s="163" t="s">
        <v>275</v>
      </c>
      <c r="D62" s="163" t="s">
        <v>283</v>
      </c>
      <c r="E62" s="163" t="s">
        <v>73</v>
      </c>
      <c r="F62" s="164">
        <v>74</v>
      </c>
      <c r="G62" s="265"/>
      <c r="H62" s="83">
        <f>F62*G62*0.9</f>
        <v>0</v>
      </c>
      <c r="I62" s="83">
        <f>F62*G62*0.1</f>
        <v>0</v>
      </c>
      <c r="J62" s="83">
        <f>F62*G62</f>
        <v>0</v>
      </c>
      <c r="K62" s="164">
        <v>0.38313999999999998</v>
      </c>
      <c r="L62" s="96">
        <f>F62*K62</f>
        <v>28.352359999999997</v>
      </c>
      <c r="M62" s="175"/>
      <c r="N62" s="176"/>
      <c r="O62" s="176"/>
      <c r="P62" s="176"/>
      <c r="Q62" s="176"/>
      <c r="R62" s="176"/>
      <c r="S62" s="176"/>
      <c r="T62" s="176"/>
      <c r="U62" s="176"/>
      <c r="V62" s="176"/>
      <c r="W62" s="176"/>
      <c r="X62" s="176"/>
      <c r="Y62" s="177">
        <v>0</v>
      </c>
      <c r="Z62" s="176"/>
      <c r="AA62" s="177">
        <v>32686.535999999996</v>
      </c>
      <c r="AB62" s="177">
        <v>3588.2640000000042</v>
      </c>
      <c r="AC62" s="177">
        <v>0</v>
      </c>
      <c r="AD62" s="177">
        <v>0</v>
      </c>
      <c r="AE62" s="177">
        <v>0</v>
      </c>
      <c r="AF62" s="177">
        <v>0</v>
      </c>
      <c r="AG62" s="177">
        <v>0</v>
      </c>
      <c r="AH62" s="178"/>
      <c r="AI62" s="164">
        <v>0</v>
      </c>
      <c r="AJ62" s="164">
        <v>0</v>
      </c>
      <c r="AK62" s="164">
        <v>36274.800000000003</v>
      </c>
      <c r="AL62" s="176"/>
      <c r="AM62" s="177">
        <v>21</v>
      </c>
      <c r="AN62" s="177">
        <v>316.72999999999996</v>
      </c>
      <c r="AO62" s="177">
        <v>34.770000000000039</v>
      </c>
      <c r="AP62" s="179" t="s">
        <v>7</v>
      </c>
      <c r="AQ62" s="176"/>
      <c r="AR62" s="176"/>
      <c r="AS62" s="176"/>
      <c r="AT62" s="176"/>
      <c r="AU62" s="177">
        <v>36274.800000000003</v>
      </c>
      <c r="AV62" s="177">
        <v>32686.535999999996</v>
      </c>
      <c r="AW62" s="177">
        <v>3588.2640000000042</v>
      </c>
      <c r="AX62" s="180" t="s">
        <v>288</v>
      </c>
      <c r="AY62" s="180" t="s">
        <v>111</v>
      </c>
      <c r="AZ62" s="178" t="s">
        <v>113</v>
      </c>
      <c r="BA62" s="176"/>
      <c r="BB62" s="177">
        <v>36274.800000000003</v>
      </c>
      <c r="BC62" s="177">
        <v>351.5</v>
      </c>
      <c r="BD62" s="177">
        <v>0</v>
      </c>
      <c r="BE62" s="177">
        <v>39.540047999999999</v>
      </c>
      <c r="BF62" s="176"/>
      <c r="BG62" s="164">
        <v>32686.535999999996</v>
      </c>
      <c r="BH62" s="164">
        <v>3588.2640000000042</v>
      </c>
      <c r="BI62" s="164">
        <v>36274.800000000003</v>
      </c>
      <c r="BJ62" s="164" t="s">
        <v>118</v>
      </c>
      <c r="BK62" s="177">
        <v>56</v>
      </c>
    </row>
    <row r="63" spans="1:63" s="81" customFormat="1" ht="12.9" x14ac:dyDescent="0.3">
      <c r="A63" s="175"/>
      <c r="B63" s="176"/>
      <c r="C63" s="181" t="s">
        <v>26</v>
      </c>
      <c r="D63" s="221" t="s">
        <v>284</v>
      </c>
      <c r="E63" s="222"/>
      <c r="F63" s="222"/>
      <c r="G63" s="222"/>
      <c r="H63" s="222"/>
      <c r="I63" s="222"/>
      <c r="J63" s="222"/>
      <c r="K63" s="222"/>
      <c r="L63" s="222"/>
      <c r="M63" s="175"/>
      <c r="N63" s="176"/>
      <c r="O63" s="176"/>
      <c r="P63" s="176"/>
      <c r="Q63" s="176"/>
      <c r="R63" s="176"/>
      <c r="S63" s="176"/>
      <c r="T63" s="176"/>
      <c r="U63" s="176"/>
      <c r="V63" s="176"/>
      <c r="W63" s="176"/>
      <c r="X63" s="176"/>
      <c r="Y63" s="176"/>
      <c r="Z63" s="176"/>
      <c r="AA63" s="176"/>
      <c r="AB63" s="176"/>
      <c r="AC63" s="176"/>
      <c r="AD63" s="176"/>
      <c r="AE63" s="176"/>
      <c r="AF63" s="176"/>
      <c r="AG63" s="176"/>
      <c r="AH63" s="176"/>
      <c r="AI63" s="176"/>
      <c r="AJ63" s="176"/>
      <c r="AK63" s="176"/>
      <c r="AL63" s="176"/>
      <c r="AM63" s="176"/>
      <c r="AN63" s="176"/>
      <c r="AO63" s="176"/>
      <c r="AP63" s="176"/>
      <c r="AQ63" s="176"/>
      <c r="AR63" s="176"/>
      <c r="AS63" s="176"/>
      <c r="AT63" s="176"/>
      <c r="AU63" s="176"/>
      <c r="AV63" s="176"/>
      <c r="AW63" s="176"/>
      <c r="AX63" s="176"/>
      <c r="AY63" s="176"/>
      <c r="AZ63" s="176"/>
      <c r="BA63" s="176"/>
      <c r="BB63" s="176"/>
      <c r="BC63" s="176"/>
      <c r="BD63" s="176"/>
      <c r="BE63" s="176"/>
      <c r="BF63" s="176"/>
      <c r="BG63" s="176"/>
      <c r="BH63" s="176"/>
      <c r="BI63" s="176"/>
      <c r="BJ63" s="176"/>
      <c r="BK63" s="176"/>
    </row>
    <row r="64" spans="1:63" s="81" customFormat="1" x14ac:dyDescent="0.3">
      <c r="A64" s="174" t="s">
        <v>219</v>
      </c>
      <c r="B64" s="163"/>
      <c r="C64" s="163" t="s">
        <v>276</v>
      </c>
      <c r="D64" s="163" t="s">
        <v>285</v>
      </c>
      <c r="E64" s="163" t="s">
        <v>73</v>
      </c>
      <c r="F64" s="164">
        <v>74</v>
      </c>
      <c r="G64" s="265"/>
      <c r="H64" s="83">
        <v>0</v>
      </c>
      <c r="I64" s="83">
        <f>F64*G64</f>
        <v>0</v>
      </c>
      <c r="J64" s="83">
        <f>F64*G64</f>
        <v>0</v>
      </c>
      <c r="K64" s="164">
        <v>0</v>
      </c>
      <c r="L64" s="96">
        <f>F64*K64</f>
        <v>0</v>
      </c>
      <c r="M64" s="175"/>
      <c r="N64" s="176"/>
      <c r="O64" s="176"/>
      <c r="P64" s="176"/>
      <c r="Q64" s="176"/>
      <c r="R64" s="176"/>
      <c r="S64" s="176"/>
      <c r="T64" s="176"/>
      <c r="U64" s="176"/>
      <c r="V64" s="176"/>
      <c r="W64" s="176"/>
      <c r="X64" s="176"/>
      <c r="Y64" s="177">
        <v>0</v>
      </c>
      <c r="Z64" s="176"/>
      <c r="AA64" s="177">
        <v>0</v>
      </c>
      <c r="AB64" s="177">
        <v>3318.7400000000002</v>
      </c>
      <c r="AC64" s="177">
        <v>0</v>
      </c>
      <c r="AD64" s="177">
        <v>0</v>
      </c>
      <c r="AE64" s="177">
        <v>0</v>
      </c>
      <c r="AF64" s="177">
        <v>0</v>
      </c>
      <c r="AG64" s="177">
        <v>0</v>
      </c>
      <c r="AH64" s="178"/>
      <c r="AI64" s="164">
        <v>0</v>
      </c>
      <c r="AJ64" s="164">
        <v>0</v>
      </c>
      <c r="AK64" s="164">
        <v>3318.7400000000002</v>
      </c>
      <c r="AL64" s="176"/>
      <c r="AM64" s="177">
        <v>21</v>
      </c>
      <c r="AN64" s="177">
        <v>0</v>
      </c>
      <c r="AO64" s="177">
        <v>38.590000000000003</v>
      </c>
      <c r="AP64" s="179" t="s">
        <v>7</v>
      </c>
      <c r="AQ64" s="176"/>
      <c r="AR64" s="176"/>
      <c r="AS64" s="176"/>
      <c r="AT64" s="176"/>
      <c r="AU64" s="177">
        <v>3318.7400000000002</v>
      </c>
      <c r="AV64" s="177">
        <v>0</v>
      </c>
      <c r="AW64" s="177">
        <v>3318.7400000000002</v>
      </c>
      <c r="AX64" s="180" t="s">
        <v>288</v>
      </c>
      <c r="AY64" s="180" t="s">
        <v>111</v>
      </c>
      <c r="AZ64" s="178" t="s">
        <v>113</v>
      </c>
      <c r="BA64" s="176"/>
      <c r="BB64" s="177">
        <v>3318.7400000000002</v>
      </c>
      <c r="BC64" s="177">
        <v>38.590000000000003</v>
      </c>
      <c r="BD64" s="177">
        <v>0</v>
      </c>
      <c r="BE64" s="177">
        <v>0</v>
      </c>
      <c r="BF64" s="176"/>
      <c r="BG64" s="164">
        <v>0</v>
      </c>
      <c r="BH64" s="164">
        <v>3318.7400000000002</v>
      </c>
      <c r="BI64" s="164">
        <v>3318.7400000000002</v>
      </c>
      <c r="BJ64" s="164" t="s">
        <v>118</v>
      </c>
      <c r="BK64" s="177">
        <v>56</v>
      </c>
    </row>
    <row r="65" spans="1:64" s="81" customFormat="1" x14ac:dyDescent="0.3">
      <c r="A65" s="174" t="s">
        <v>220</v>
      </c>
      <c r="B65" s="163"/>
      <c r="C65" s="163" t="s">
        <v>277</v>
      </c>
      <c r="D65" s="163" t="s">
        <v>286</v>
      </c>
      <c r="E65" s="163" t="s">
        <v>73</v>
      </c>
      <c r="F65" s="164">
        <v>74</v>
      </c>
      <c r="G65" s="265"/>
      <c r="H65" s="83">
        <v>0</v>
      </c>
      <c r="I65" s="83">
        <f>F65*G65</f>
        <v>0</v>
      </c>
      <c r="J65" s="83">
        <f>F65*G65</f>
        <v>0</v>
      </c>
      <c r="K65" s="164">
        <v>0</v>
      </c>
      <c r="L65" s="96">
        <f>F65*K65</f>
        <v>0</v>
      </c>
      <c r="M65" s="175"/>
      <c r="N65" s="176"/>
      <c r="O65" s="176"/>
      <c r="P65" s="176"/>
      <c r="Q65" s="176"/>
      <c r="R65" s="176"/>
      <c r="S65" s="176"/>
      <c r="T65" s="176"/>
      <c r="U65" s="176"/>
      <c r="V65" s="176"/>
      <c r="W65" s="176"/>
      <c r="X65" s="176"/>
      <c r="Y65" s="177">
        <v>0</v>
      </c>
      <c r="Z65" s="176"/>
      <c r="AA65" s="177">
        <v>0</v>
      </c>
      <c r="AB65" s="177">
        <v>4386</v>
      </c>
      <c r="AC65" s="177">
        <v>0</v>
      </c>
      <c r="AD65" s="177">
        <v>0</v>
      </c>
      <c r="AE65" s="177">
        <v>0</v>
      </c>
      <c r="AF65" s="177">
        <v>0</v>
      </c>
      <c r="AG65" s="177">
        <v>0</v>
      </c>
      <c r="AH65" s="178"/>
      <c r="AI65" s="164">
        <v>0</v>
      </c>
      <c r="AJ65" s="164">
        <v>0</v>
      </c>
      <c r="AK65" s="164">
        <v>4386</v>
      </c>
      <c r="AL65" s="176"/>
      <c r="AM65" s="177">
        <v>21</v>
      </c>
      <c r="AN65" s="177">
        <v>0</v>
      </c>
      <c r="AO65" s="177">
        <v>42.5</v>
      </c>
      <c r="AP65" s="179" t="s">
        <v>7</v>
      </c>
      <c r="AQ65" s="176"/>
      <c r="AR65" s="176"/>
      <c r="AS65" s="176"/>
      <c r="AT65" s="176"/>
      <c r="AU65" s="177">
        <v>4386</v>
      </c>
      <c r="AV65" s="177">
        <v>0</v>
      </c>
      <c r="AW65" s="177">
        <v>4386</v>
      </c>
      <c r="AX65" s="180" t="s">
        <v>288</v>
      </c>
      <c r="AY65" s="180" t="s">
        <v>111</v>
      </c>
      <c r="AZ65" s="178" t="s">
        <v>113</v>
      </c>
      <c r="BA65" s="176"/>
      <c r="BB65" s="177">
        <v>4386</v>
      </c>
      <c r="BC65" s="177">
        <v>42.5</v>
      </c>
      <c r="BD65" s="177">
        <v>0</v>
      </c>
      <c r="BE65" s="177">
        <v>0</v>
      </c>
      <c r="BF65" s="176"/>
      <c r="BG65" s="164">
        <v>0</v>
      </c>
      <c r="BH65" s="164">
        <v>4386</v>
      </c>
      <c r="BI65" s="164">
        <v>4386</v>
      </c>
      <c r="BJ65" s="164" t="s">
        <v>118</v>
      </c>
      <c r="BK65" s="177">
        <v>56</v>
      </c>
    </row>
    <row r="66" spans="1:64" s="81" customFormat="1" x14ac:dyDescent="0.3">
      <c r="A66" s="5">
        <v>25</v>
      </c>
      <c r="C66" s="13" t="s">
        <v>242</v>
      </c>
      <c r="D66" s="114" t="s">
        <v>243</v>
      </c>
      <c r="E66" s="13" t="s">
        <v>73</v>
      </c>
      <c r="F66" s="83">
        <v>60</v>
      </c>
      <c r="G66" s="255"/>
      <c r="H66" s="83">
        <f>F66*0.4*G66</f>
        <v>0</v>
      </c>
      <c r="I66" s="83">
        <f>F66*0.6*G66</f>
        <v>0</v>
      </c>
      <c r="J66" s="83">
        <f>F66*G66</f>
        <v>0</v>
      </c>
      <c r="K66" s="83">
        <v>7.3899999999999993E-2</v>
      </c>
      <c r="L66" s="96">
        <v>1.5592900000000001</v>
      </c>
      <c r="M66" s="83"/>
    </row>
    <row r="67" spans="1:64" s="81" customFormat="1" ht="38.6" x14ac:dyDescent="0.3">
      <c r="A67" s="5"/>
      <c r="C67" s="17"/>
      <c r="D67" s="92" t="s">
        <v>271</v>
      </c>
      <c r="E67" s="121"/>
      <c r="F67" s="121"/>
      <c r="G67" s="121"/>
      <c r="H67" s="121"/>
      <c r="I67" s="121"/>
      <c r="J67" s="121"/>
      <c r="K67" s="121"/>
      <c r="L67" s="149"/>
      <c r="M67" s="72"/>
    </row>
    <row r="68" spans="1:64" s="81" customFormat="1" x14ac:dyDescent="0.3">
      <c r="A68" s="5">
        <v>26</v>
      </c>
      <c r="C68" s="13" t="s">
        <v>242</v>
      </c>
      <c r="D68" s="114" t="s">
        <v>294</v>
      </c>
      <c r="E68" s="13" t="s">
        <v>73</v>
      </c>
      <c r="F68" s="83">
        <v>10</v>
      </c>
      <c r="G68" s="255"/>
      <c r="H68" s="83">
        <f>F68*0.4*G68</f>
        <v>0</v>
      </c>
      <c r="I68" s="83">
        <f>F68*0.6*G68</f>
        <v>0</v>
      </c>
      <c r="J68" s="83">
        <f>F68*G68</f>
        <v>0</v>
      </c>
      <c r="K68" s="83">
        <v>7.3899999999999993E-2</v>
      </c>
      <c r="L68" s="96">
        <v>1.5592900000000001</v>
      </c>
      <c r="M68" s="83"/>
    </row>
    <row r="69" spans="1:64" s="81" customFormat="1" ht="24.9" x14ac:dyDescent="0.3">
      <c r="A69" s="5"/>
      <c r="C69" s="17"/>
      <c r="D69" s="254" t="s">
        <v>295</v>
      </c>
      <c r="E69" s="172"/>
      <c r="F69" s="172"/>
      <c r="G69" s="266"/>
      <c r="H69" s="172"/>
      <c r="I69" s="172"/>
      <c r="J69" s="172"/>
      <c r="K69" s="172"/>
      <c r="L69" s="173"/>
      <c r="M69" s="72"/>
    </row>
    <row r="70" spans="1:64" s="81" customFormat="1" x14ac:dyDescent="0.3">
      <c r="A70" s="163" t="s">
        <v>222</v>
      </c>
      <c r="B70" s="163"/>
      <c r="C70" s="163" t="s">
        <v>248</v>
      </c>
      <c r="D70" s="163" t="s">
        <v>249</v>
      </c>
      <c r="E70" s="13" t="s">
        <v>250</v>
      </c>
      <c r="F70" s="83">
        <v>1</v>
      </c>
      <c r="G70" s="265"/>
      <c r="H70" s="83">
        <f>F70*0.4*G70</f>
        <v>0</v>
      </c>
      <c r="I70" s="83">
        <f>F70*0.6*G70</f>
        <v>0</v>
      </c>
      <c r="J70" s="83">
        <f>F70*G70</f>
        <v>0</v>
      </c>
      <c r="K70" s="164">
        <v>0.5</v>
      </c>
      <c r="L70" s="168">
        <v>0.5</v>
      </c>
      <c r="M70" s="72"/>
    </row>
    <row r="71" spans="1:64" s="81" customFormat="1" ht="25.75" x14ac:dyDescent="0.3">
      <c r="A71" s="166"/>
      <c r="B71" s="165"/>
      <c r="C71" s="165"/>
      <c r="D71" s="167" t="s">
        <v>272</v>
      </c>
      <c r="E71" s="165"/>
      <c r="F71" s="165"/>
      <c r="G71" s="165"/>
      <c r="H71" s="165"/>
      <c r="I71" s="165"/>
      <c r="J71" s="165"/>
      <c r="K71" s="165"/>
      <c r="L71" s="169"/>
      <c r="M71" s="72"/>
    </row>
    <row r="72" spans="1:64" s="81" customFormat="1" x14ac:dyDescent="0.3">
      <c r="A72" s="5"/>
      <c r="C72" s="13"/>
      <c r="D72" s="114"/>
      <c r="E72" s="13"/>
      <c r="F72" s="83"/>
      <c r="G72" s="83"/>
      <c r="H72" s="83"/>
      <c r="I72" s="83"/>
      <c r="J72" s="83"/>
      <c r="K72" s="83"/>
      <c r="L72" s="96"/>
      <c r="M72" s="83"/>
      <c r="N72" s="97"/>
    </row>
    <row r="73" spans="1:64" s="128" customFormat="1" x14ac:dyDescent="0.3">
      <c r="A73" s="122"/>
      <c r="B73" s="123"/>
      <c r="C73" s="123" t="s">
        <v>29</v>
      </c>
      <c r="D73" s="216" t="s">
        <v>60</v>
      </c>
      <c r="E73" s="215"/>
      <c r="F73" s="124" t="s">
        <v>6</v>
      </c>
      <c r="G73" s="124" t="s">
        <v>6</v>
      </c>
      <c r="H73" s="153">
        <f>SUM(H74:H80)</f>
        <v>0</v>
      </c>
      <c r="I73" s="153">
        <f>SUM(I74:I80)</f>
        <v>0</v>
      </c>
      <c r="J73" s="153">
        <f>SUM(J74:J80)</f>
        <v>0</v>
      </c>
      <c r="K73" s="125">
        <f>SUM(K74:K80)</f>
        <v>0.96310000000000007</v>
      </c>
      <c r="L73" s="153">
        <f>SUM(L74:L80)</f>
        <v>10.459999999999999</v>
      </c>
      <c r="M73" s="139"/>
      <c r="N73" s="141"/>
      <c r="O73" s="140"/>
      <c r="AI73" s="126" t="s">
        <v>193</v>
      </c>
      <c r="AS73" s="125">
        <f>SUM(AJ74:AJ74)</f>
        <v>0</v>
      </c>
      <c r="AT73" s="125">
        <f>SUM(AK74:AK74)</f>
        <v>0</v>
      </c>
      <c r="AU73" s="125">
        <f>SUM(AL74:AL74)</f>
        <v>0.188</v>
      </c>
    </row>
    <row r="74" spans="1:64" s="128" customFormat="1" x14ac:dyDescent="0.3">
      <c r="A74" s="4" t="s">
        <v>203</v>
      </c>
      <c r="B74" s="130"/>
      <c r="C74" s="130" t="s">
        <v>206</v>
      </c>
      <c r="D74" s="143" t="s">
        <v>207</v>
      </c>
      <c r="E74" s="130" t="s">
        <v>74</v>
      </c>
      <c r="F74" s="142">
        <v>22</v>
      </c>
      <c r="G74" s="264"/>
      <c r="H74" s="142">
        <f>F74*G74*0.45</f>
        <v>0</v>
      </c>
      <c r="I74" s="142">
        <f>F74*G74*0.55</f>
        <v>0</v>
      </c>
      <c r="J74" s="142">
        <f>F74*G74</f>
        <v>0</v>
      </c>
      <c r="K74" s="142">
        <v>0.188</v>
      </c>
      <c r="L74" s="148">
        <f>F74*K74</f>
        <v>4.1360000000000001</v>
      </c>
      <c r="M74" s="142"/>
      <c r="N74" s="144"/>
      <c r="O74" s="140"/>
      <c r="Z74" s="133">
        <f>IF(AQ74="5",BJ74,0)</f>
        <v>0</v>
      </c>
      <c r="AB74" s="133">
        <f>IF(AQ74="1",BH74,0)</f>
        <v>0</v>
      </c>
      <c r="AC74" s="133">
        <f>IF(AQ74="1",BI74,0)</f>
        <v>0</v>
      </c>
      <c r="AD74" s="133">
        <f>IF(AQ74="7",BH74,0)</f>
        <v>0</v>
      </c>
      <c r="AE74" s="133">
        <f>IF(AQ74="7",BI74,0)</f>
        <v>0</v>
      </c>
      <c r="AF74" s="133">
        <f>IF(AQ74="2",BH74,0)</f>
        <v>0</v>
      </c>
      <c r="AG74" s="133">
        <f>IF(AQ74="2",BI74,0)</f>
        <v>0</v>
      </c>
      <c r="AH74" s="133">
        <f>IF(AQ74="0",BJ74,0)</f>
        <v>0</v>
      </c>
      <c r="AI74" s="126" t="s">
        <v>193</v>
      </c>
      <c r="AJ74" s="142">
        <f>IF(AN74=0,K74,0)</f>
        <v>0</v>
      </c>
      <c r="AK74" s="142">
        <f>IF(AN74=15,K74,0)</f>
        <v>0</v>
      </c>
      <c r="AL74" s="142">
        <f>IF(AN74=21,K74,0)</f>
        <v>0.188</v>
      </c>
      <c r="AN74" s="133">
        <v>21</v>
      </c>
      <c r="AO74" s="133">
        <f>H74*0.559380097879282</f>
        <v>0</v>
      </c>
      <c r="AP74" s="133">
        <f>H74*(1-0.559380097879282)</f>
        <v>0</v>
      </c>
      <c r="AQ74" s="144" t="s">
        <v>7</v>
      </c>
      <c r="AV74" s="133">
        <f>AW74+AX74</f>
        <v>0</v>
      </c>
      <c r="AW74" s="133">
        <f>G74*AO74</f>
        <v>0</v>
      </c>
      <c r="AX74" s="133">
        <f>G74*AP74</f>
        <v>0</v>
      </c>
      <c r="AY74" s="135" t="s">
        <v>106</v>
      </c>
      <c r="AZ74" s="135" t="s">
        <v>204</v>
      </c>
      <c r="BA74" s="126" t="s">
        <v>197</v>
      </c>
      <c r="BC74" s="133">
        <f>AW74+AX74</f>
        <v>0</v>
      </c>
      <c r="BD74" s="133">
        <f>H74/(100-BE74)*100</f>
        <v>0</v>
      </c>
      <c r="BE74" s="133">
        <v>0</v>
      </c>
      <c r="BF74" s="133">
        <f>M74</f>
        <v>0</v>
      </c>
      <c r="BH74" s="142">
        <f>G74*AO74</f>
        <v>0</v>
      </c>
      <c r="BI74" s="142">
        <f>G74*AP74</f>
        <v>0</v>
      </c>
      <c r="BJ74" s="142">
        <f>G74*H74</f>
        <v>0</v>
      </c>
      <c r="BK74" s="142" t="s">
        <v>118</v>
      </c>
      <c r="BL74" s="133">
        <v>91</v>
      </c>
    </row>
    <row r="75" spans="1:64" s="81" customFormat="1" x14ac:dyDescent="0.3">
      <c r="A75" s="4" t="s">
        <v>205</v>
      </c>
      <c r="B75" s="13"/>
      <c r="C75" s="13" t="s">
        <v>244</v>
      </c>
      <c r="D75" s="13" t="s">
        <v>245</v>
      </c>
      <c r="E75" s="13" t="s">
        <v>74</v>
      </c>
      <c r="F75" s="83">
        <v>27</v>
      </c>
      <c r="G75" s="255"/>
      <c r="H75" s="83">
        <f>F75*AN75</f>
        <v>0</v>
      </c>
      <c r="I75" s="83">
        <f>F75*AO75</f>
        <v>0</v>
      </c>
      <c r="J75" s="83">
        <f>F75*G75</f>
        <v>0</v>
      </c>
      <c r="K75" s="83">
        <v>0.22500000000000001</v>
      </c>
      <c r="L75" s="83">
        <f>F75*K75</f>
        <v>6.0750000000000002</v>
      </c>
      <c r="M75" s="5"/>
      <c r="Y75" s="33">
        <f>IF(AP75="5",BI75,0)</f>
        <v>0</v>
      </c>
      <c r="AA75" s="33">
        <f>IF(AP75="1",BG75,0)</f>
        <v>0</v>
      </c>
      <c r="AB75" s="33">
        <f>IF(AP75="1",BH75,0)</f>
        <v>0</v>
      </c>
      <c r="AC75" s="33">
        <f>IF(AP75="7",BG75,0)</f>
        <v>0</v>
      </c>
      <c r="AD75" s="33">
        <f>IF(AP75="7",BH75,0)</f>
        <v>0</v>
      </c>
      <c r="AE75" s="33">
        <f>IF(AP75="2",BG75,0)</f>
        <v>0</v>
      </c>
      <c r="AF75" s="33">
        <f>IF(AP75="2",BH75,0)</f>
        <v>0</v>
      </c>
      <c r="AG75" s="33">
        <f>IF(AP75="0",BI75,0)</f>
        <v>0</v>
      </c>
      <c r="AH75" s="30"/>
      <c r="AI75" s="83">
        <f>IF(AM75=0,J75,0)</f>
        <v>0</v>
      </c>
      <c r="AJ75" s="83">
        <f>IF(AM75=15,J75,0)</f>
        <v>0</v>
      </c>
      <c r="AK75" s="83">
        <f>IF(AM75=21,J75,0)</f>
        <v>0</v>
      </c>
      <c r="AM75" s="33">
        <v>21</v>
      </c>
      <c r="AN75" s="33">
        <f>G75*0.52734068601804</f>
        <v>0</v>
      </c>
      <c r="AO75" s="33">
        <f>G75*(1-0.52734068601804)</f>
        <v>0</v>
      </c>
      <c r="AP75" s="34" t="s">
        <v>7</v>
      </c>
      <c r="AU75" s="33">
        <f>AV75+AW75</f>
        <v>0</v>
      </c>
      <c r="AV75" s="33">
        <f>F75*AN75</f>
        <v>0</v>
      </c>
      <c r="AW75" s="33">
        <f>F75*AO75</f>
        <v>0</v>
      </c>
      <c r="AX75" s="35" t="s">
        <v>106</v>
      </c>
      <c r="AY75" s="35" t="s">
        <v>112</v>
      </c>
      <c r="AZ75" s="30" t="s">
        <v>113</v>
      </c>
      <c r="BB75" s="33">
        <f>AV75+AW75</f>
        <v>0</v>
      </c>
      <c r="BC75" s="33">
        <f>G75/(100-BD75)*100</f>
        <v>0</v>
      </c>
      <c r="BD75" s="33">
        <v>0</v>
      </c>
      <c r="BE75" s="33">
        <f>L75</f>
        <v>6.0750000000000002</v>
      </c>
      <c r="BG75" s="83">
        <f>F75*AN75</f>
        <v>0</v>
      </c>
      <c r="BH75" s="83">
        <f>F75*AO75</f>
        <v>0</v>
      </c>
      <c r="BI75" s="83">
        <f>F75*G75</f>
        <v>0</v>
      </c>
      <c r="BJ75" s="83" t="s">
        <v>118</v>
      </c>
      <c r="BK75" s="33">
        <v>91</v>
      </c>
    </row>
    <row r="76" spans="1:64" s="81" customFormat="1" ht="31.85" customHeight="1" x14ac:dyDescent="0.3">
      <c r="A76" s="5"/>
      <c r="D76" s="159" t="s">
        <v>246</v>
      </c>
      <c r="F76" s="24"/>
      <c r="M76" s="5"/>
    </row>
    <row r="77" spans="1:64" s="81" customFormat="1" x14ac:dyDescent="0.3">
      <c r="A77" s="4" t="s">
        <v>241</v>
      </c>
      <c r="B77" s="13"/>
      <c r="C77" s="13" t="s">
        <v>30</v>
      </c>
      <c r="D77" s="13" t="s">
        <v>61</v>
      </c>
      <c r="E77" s="13" t="s">
        <v>74</v>
      </c>
      <c r="F77" s="83">
        <v>400</v>
      </c>
      <c r="G77" s="255"/>
      <c r="H77" s="83">
        <f>F77*AN77</f>
        <v>0</v>
      </c>
      <c r="I77" s="83">
        <f>F77*AO77</f>
        <v>0</v>
      </c>
      <c r="J77" s="83">
        <f>F77*G77</f>
        <v>0</v>
      </c>
      <c r="K77" s="83">
        <v>1E-4</v>
      </c>
      <c r="L77" s="96">
        <f>F77*K77</f>
        <v>0.04</v>
      </c>
      <c r="M77" s="72"/>
      <c r="Y77" s="33">
        <f>IF(AP77="5",BI77,0)</f>
        <v>0</v>
      </c>
      <c r="AA77" s="33">
        <f>IF(AP77="1",BG77,0)</f>
        <v>0</v>
      </c>
      <c r="AB77" s="33">
        <f>IF(AP77="1",BH77,0)</f>
        <v>0</v>
      </c>
      <c r="AC77" s="33">
        <f>IF(AP77="7",BG77,0)</f>
        <v>0</v>
      </c>
      <c r="AD77" s="33">
        <f>IF(AP77="7",BH77,0)</f>
        <v>0</v>
      </c>
      <c r="AE77" s="33">
        <f>IF(AP77="2",BG77,0)</f>
        <v>0</v>
      </c>
      <c r="AF77" s="33">
        <f>IF(AP77="2",BH77,0)</f>
        <v>0</v>
      </c>
      <c r="AG77" s="33">
        <f>IF(AP77="0",BI77,0)</f>
        <v>0</v>
      </c>
      <c r="AH77" s="30"/>
      <c r="AI77" s="83">
        <f>IF(AM77=0,J77,0)</f>
        <v>0</v>
      </c>
      <c r="AJ77" s="83">
        <f>IF(AM77=15,J77,0)</f>
        <v>0</v>
      </c>
      <c r="AK77" s="83">
        <f>IF(AM77=21,J77,0)</f>
        <v>0</v>
      </c>
      <c r="AM77" s="33">
        <v>21</v>
      </c>
      <c r="AN77" s="33">
        <f>G77*0.0923427957855178</f>
        <v>0</v>
      </c>
      <c r="AO77" s="33">
        <f>G77*(1-0.0923427957855178)</f>
        <v>0</v>
      </c>
      <c r="AP77" s="34" t="s">
        <v>7</v>
      </c>
      <c r="AU77" s="33">
        <f>AV77+AW77</f>
        <v>0</v>
      </c>
      <c r="AV77" s="33">
        <f>F77*AN77</f>
        <v>0</v>
      </c>
      <c r="AW77" s="33">
        <f>F77*AO77</f>
        <v>0</v>
      </c>
      <c r="AX77" s="35" t="s">
        <v>106</v>
      </c>
      <c r="AY77" s="35" t="s">
        <v>112</v>
      </c>
      <c r="AZ77" s="30" t="s">
        <v>113</v>
      </c>
      <c r="BB77" s="33">
        <f>AV77+AW77</f>
        <v>0</v>
      </c>
      <c r="BC77" s="33">
        <f>G77/(100-BD77)*100</f>
        <v>0</v>
      </c>
      <c r="BD77" s="33">
        <v>0</v>
      </c>
      <c r="BE77" s="33">
        <f>L77</f>
        <v>0.04</v>
      </c>
      <c r="BG77" s="83">
        <f>F77*AN77</f>
        <v>0</v>
      </c>
      <c r="BH77" s="83">
        <f>F77*AO77</f>
        <v>0</v>
      </c>
      <c r="BI77" s="83">
        <f>F77*G77</f>
        <v>0</v>
      </c>
      <c r="BJ77" s="83" t="s">
        <v>118</v>
      </c>
      <c r="BK77" s="33">
        <v>91</v>
      </c>
    </row>
    <row r="78" spans="1:64" s="81" customFormat="1" ht="12.9" x14ac:dyDescent="0.3">
      <c r="A78" s="5"/>
      <c r="C78" s="17" t="s">
        <v>26</v>
      </c>
      <c r="D78" s="1" t="s">
        <v>173</v>
      </c>
      <c r="E78" s="186"/>
      <c r="F78" s="186"/>
      <c r="G78" s="186"/>
      <c r="H78" s="186"/>
      <c r="I78" s="186"/>
      <c r="J78" s="186"/>
      <c r="K78" s="186"/>
      <c r="L78" s="187"/>
      <c r="M78" s="72"/>
    </row>
    <row r="79" spans="1:64" s="81" customFormat="1" ht="12.9" x14ac:dyDescent="0.3">
      <c r="A79" s="5"/>
      <c r="C79" s="82" t="s">
        <v>18</v>
      </c>
      <c r="D79" s="203" t="s">
        <v>184</v>
      </c>
      <c r="E79" s="204"/>
      <c r="F79" s="204"/>
      <c r="G79" s="204"/>
      <c r="H79" s="204"/>
      <c r="I79" s="204"/>
      <c r="J79" s="204"/>
      <c r="K79" s="204"/>
      <c r="L79" s="205"/>
      <c r="M79" s="72"/>
    </row>
    <row r="80" spans="1:64" s="81" customFormat="1" x14ac:dyDescent="0.3">
      <c r="A80" s="174" t="s">
        <v>253</v>
      </c>
      <c r="B80" s="163"/>
      <c r="C80" s="163" t="s">
        <v>278</v>
      </c>
      <c r="D80" s="163" t="s">
        <v>287</v>
      </c>
      <c r="E80" s="163" t="s">
        <v>75</v>
      </c>
      <c r="F80" s="164">
        <v>0.38</v>
      </c>
      <c r="G80" s="265"/>
      <c r="H80" s="83">
        <f>F80*G80*0.8</f>
        <v>0</v>
      </c>
      <c r="I80" s="83">
        <f>F80*G80*0.2</f>
        <v>0</v>
      </c>
      <c r="J80" s="83">
        <f>F80*G80</f>
        <v>0</v>
      </c>
      <c r="K80" s="109">
        <v>0.55000000000000004</v>
      </c>
      <c r="L80" s="96">
        <f>F80*K80</f>
        <v>0.20900000000000002</v>
      </c>
      <c r="M80" s="175"/>
      <c r="N80" s="176"/>
      <c r="O80" s="176"/>
      <c r="P80" s="176"/>
      <c r="Q80" s="176"/>
      <c r="R80" s="176"/>
      <c r="S80" s="176"/>
      <c r="T80" s="176"/>
      <c r="U80" s="176"/>
      <c r="V80" s="176"/>
      <c r="W80" s="176"/>
      <c r="X80" s="176"/>
      <c r="Y80" s="177">
        <v>0</v>
      </c>
      <c r="Z80" s="176"/>
      <c r="AA80" s="177">
        <v>12720.78638792992</v>
      </c>
      <c r="AB80" s="177">
        <v>2694.6232920700777</v>
      </c>
      <c r="AC80" s="177">
        <v>0</v>
      </c>
      <c r="AD80" s="177">
        <v>0</v>
      </c>
      <c r="AE80" s="177">
        <v>0</v>
      </c>
      <c r="AF80" s="177">
        <v>0</v>
      </c>
      <c r="AG80" s="177">
        <v>0</v>
      </c>
      <c r="AH80" s="178"/>
      <c r="AI80" s="164">
        <v>0</v>
      </c>
      <c r="AJ80" s="164">
        <v>0</v>
      </c>
      <c r="AK80" s="164">
        <v>15415.409679999999</v>
      </c>
      <c r="AL80" s="176"/>
      <c r="AM80" s="177">
        <v>21</v>
      </c>
      <c r="AN80" s="177">
        <v>28910.878154386184</v>
      </c>
      <c r="AO80" s="177">
        <v>6124.143845613813</v>
      </c>
      <c r="AP80" s="179" t="s">
        <v>7</v>
      </c>
      <c r="AQ80" s="176"/>
      <c r="AR80" s="176"/>
      <c r="AS80" s="176"/>
      <c r="AT80" s="176"/>
      <c r="AU80" s="177">
        <v>15415.409679999997</v>
      </c>
      <c r="AV80" s="177">
        <v>12720.78638792992</v>
      </c>
      <c r="AW80" s="177">
        <v>2694.6232920700777</v>
      </c>
      <c r="AX80" s="180" t="s">
        <v>106</v>
      </c>
      <c r="AY80" s="180" t="s">
        <v>112</v>
      </c>
      <c r="AZ80" s="178" t="s">
        <v>113</v>
      </c>
      <c r="BA80" s="176"/>
      <c r="BB80" s="177">
        <v>15415.409679999997</v>
      </c>
      <c r="BC80" s="177">
        <v>35035.021999999997</v>
      </c>
      <c r="BD80" s="177">
        <v>0</v>
      </c>
      <c r="BE80" s="177">
        <v>0.50724520000000006</v>
      </c>
      <c r="BF80" s="176"/>
      <c r="BG80" s="164">
        <v>12720.78638792992</v>
      </c>
      <c r="BH80" s="164">
        <v>2694.6232920700777</v>
      </c>
      <c r="BI80" s="164">
        <v>15415.409679999999</v>
      </c>
      <c r="BJ80" s="164" t="s">
        <v>118</v>
      </c>
      <c r="BK80" s="177">
        <v>91</v>
      </c>
    </row>
    <row r="81" spans="1:64" s="81" customFormat="1" ht="12.9" x14ac:dyDescent="0.3">
      <c r="A81" s="175"/>
      <c r="B81" s="176"/>
      <c r="C81" s="176"/>
      <c r="D81" s="182" t="s">
        <v>291</v>
      </c>
      <c r="E81" s="176"/>
      <c r="F81" s="183">
        <v>0.38</v>
      </c>
      <c r="G81" s="176"/>
      <c r="H81" s="176"/>
      <c r="I81" s="176"/>
      <c r="J81" s="176"/>
      <c r="K81" s="176"/>
      <c r="L81" s="176"/>
      <c r="M81" s="175"/>
      <c r="N81" s="176"/>
      <c r="O81" s="176"/>
      <c r="P81" s="176"/>
      <c r="Q81" s="176"/>
      <c r="R81" s="176"/>
      <c r="S81" s="176"/>
      <c r="T81" s="176"/>
      <c r="U81" s="176"/>
      <c r="V81" s="176"/>
      <c r="W81" s="176"/>
      <c r="X81" s="176"/>
      <c r="Y81" s="176"/>
      <c r="Z81" s="176"/>
      <c r="AA81" s="176"/>
      <c r="AB81" s="176"/>
      <c r="AC81" s="176"/>
      <c r="AD81" s="176"/>
      <c r="AE81" s="176"/>
      <c r="AF81" s="176"/>
      <c r="AG81" s="176"/>
      <c r="AH81" s="176"/>
      <c r="AI81" s="176"/>
      <c r="AJ81" s="176"/>
      <c r="AK81" s="176"/>
      <c r="AL81" s="176"/>
      <c r="AM81" s="176"/>
      <c r="AN81" s="176"/>
      <c r="AO81" s="176"/>
      <c r="AP81" s="176"/>
      <c r="AQ81" s="176"/>
      <c r="AR81" s="176"/>
      <c r="AS81" s="176"/>
      <c r="AT81" s="176"/>
      <c r="AU81" s="176"/>
      <c r="AV81" s="176"/>
      <c r="AW81" s="176"/>
      <c r="AX81" s="176"/>
      <c r="AY81" s="176"/>
      <c r="AZ81" s="176"/>
      <c r="BA81" s="176"/>
      <c r="BB81" s="176"/>
      <c r="BC81" s="176"/>
      <c r="BD81" s="176"/>
      <c r="BE81" s="176"/>
      <c r="BF81" s="176"/>
      <c r="BG81" s="176"/>
      <c r="BH81" s="176"/>
      <c r="BI81" s="176"/>
      <c r="BJ81" s="176"/>
      <c r="BK81" s="176"/>
    </row>
    <row r="82" spans="1:64" s="81" customFormat="1" ht="31.85" customHeight="1" thickBot="1" x14ac:dyDescent="0.35">
      <c r="A82" s="72"/>
      <c r="D82" s="159"/>
      <c r="F82" s="24"/>
      <c r="M82" s="72"/>
    </row>
    <row r="83" spans="1:64" s="81" customFormat="1" ht="13.2" customHeight="1" x14ac:dyDescent="0.3">
      <c r="A83" s="14"/>
      <c r="B83" s="14"/>
      <c r="C83" s="14" t="s">
        <v>178</v>
      </c>
      <c r="D83" s="14" t="s">
        <v>179</v>
      </c>
      <c r="E83" s="14" t="s">
        <v>6</v>
      </c>
      <c r="F83" s="14" t="s">
        <v>6</v>
      </c>
      <c r="G83" s="105" t="s">
        <v>6</v>
      </c>
      <c r="H83" s="99">
        <f>SUM(H84:H85)</f>
        <v>0</v>
      </c>
      <c r="I83" s="99">
        <f>SUM(I84:I85)</f>
        <v>0</v>
      </c>
      <c r="J83" s="99">
        <f>SUM(J84:J85)</f>
        <v>0</v>
      </c>
      <c r="K83" s="106"/>
      <c r="L83" s="99">
        <f>SUM(L84:L85)</f>
        <v>14.651960000000001</v>
      </c>
      <c r="M83" s="13"/>
      <c r="AH83" s="29"/>
      <c r="AR83" s="37">
        <v>0</v>
      </c>
      <c r="AS83" s="37">
        <v>0</v>
      </c>
      <c r="AT83" s="37">
        <v>10728</v>
      </c>
    </row>
    <row r="84" spans="1:64" s="110" customFormat="1" ht="24.9" x14ac:dyDescent="0.3">
      <c r="A84" s="107" t="s">
        <v>247</v>
      </c>
      <c r="B84" s="107"/>
      <c r="C84" s="107" t="s">
        <v>180</v>
      </c>
      <c r="D84" s="115" t="s">
        <v>191</v>
      </c>
      <c r="E84" s="107" t="s">
        <v>181</v>
      </c>
      <c r="F84" s="108" t="s">
        <v>221</v>
      </c>
      <c r="G84" s="267"/>
      <c r="H84" s="83">
        <f>F84*0.4*G84</f>
        <v>0</v>
      </c>
      <c r="I84" s="83">
        <f>F84*0.6*G84</f>
        <v>0</v>
      </c>
      <c r="J84" s="83">
        <f>F84*G84</f>
        <v>0</v>
      </c>
      <c r="K84" s="109">
        <v>0.43093999999999999</v>
      </c>
      <c r="L84" s="96">
        <f>F84*K84</f>
        <v>10.7735</v>
      </c>
      <c r="M84" s="107"/>
      <c r="Y84" s="111">
        <v>0</v>
      </c>
      <c r="AA84" s="111">
        <v>2992.9999999999991</v>
      </c>
      <c r="AB84" s="111">
        <v>6487</v>
      </c>
      <c r="AC84" s="111">
        <v>0</v>
      </c>
      <c r="AD84" s="111">
        <v>0</v>
      </c>
      <c r="AE84" s="111">
        <v>0</v>
      </c>
      <c r="AF84" s="111">
        <v>0</v>
      </c>
      <c r="AG84" s="111">
        <v>0</v>
      </c>
      <c r="AH84" s="108"/>
      <c r="AI84" s="112">
        <v>0</v>
      </c>
      <c r="AJ84" s="112">
        <v>0</v>
      </c>
      <c r="AK84" s="112">
        <v>9480</v>
      </c>
      <c r="AM84" s="111">
        <v>21</v>
      </c>
      <c r="AN84" s="111">
        <v>748.24999999999977</v>
      </c>
      <c r="AO84" s="111">
        <v>1621.75</v>
      </c>
      <c r="AP84" s="113" t="s">
        <v>7</v>
      </c>
      <c r="AU84" s="111">
        <v>9480</v>
      </c>
      <c r="AV84" s="111">
        <v>2992.9999999999991</v>
      </c>
      <c r="AW84" s="111">
        <v>6487</v>
      </c>
      <c r="AX84" s="108" t="s">
        <v>182</v>
      </c>
      <c r="AY84" s="108" t="s">
        <v>183</v>
      </c>
      <c r="AZ84" s="108" t="s">
        <v>113</v>
      </c>
      <c r="BB84" s="111">
        <v>9480</v>
      </c>
      <c r="BC84" s="111">
        <v>2370</v>
      </c>
      <c r="BD84" s="111">
        <v>0</v>
      </c>
      <c r="BE84" s="111">
        <v>1.72376</v>
      </c>
      <c r="BG84" s="112">
        <v>2992.9999999999991</v>
      </c>
      <c r="BH84" s="112">
        <v>6487</v>
      </c>
      <c r="BI84" s="112">
        <v>9480</v>
      </c>
      <c r="BJ84" s="112" t="s">
        <v>118</v>
      </c>
      <c r="BK84" s="111">
        <v>89</v>
      </c>
    </row>
    <row r="85" spans="1:64" s="110" customFormat="1" ht="24.9" x14ac:dyDescent="0.3">
      <c r="A85" s="107" t="s">
        <v>254</v>
      </c>
      <c r="B85" s="107"/>
      <c r="C85" s="107" t="s">
        <v>180</v>
      </c>
      <c r="D85" s="115" t="s">
        <v>192</v>
      </c>
      <c r="E85" s="107" t="s">
        <v>181</v>
      </c>
      <c r="F85" s="108" t="s">
        <v>15</v>
      </c>
      <c r="G85" s="267"/>
      <c r="H85" s="83">
        <f>F85*0.4*G85</f>
        <v>0</v>
      </c>
      <c r="I85" s="83">
        <f>F85*0.6*G85</f>
        <v>0</v>
      </c>
      <c r="J85" s="83">
        <f>F85*G85</f>
        <v>0</v>
      </c>
      <c r="K85" s="109">
        <v>0.43093999999999999</v>
      </c>
      <c r="L85" s="96">
        <f>F85*K85</f>
        <v>3.87846</v>
      </c>
      <c r="M85" s="107"/>
      <c r="Y85" s="111">
        <v>0</v>
      </c>
      <c r="AA85" s="111">
        <v>2992.9999999999991</v>
      </c>
      <c r="AB85" s="111">
        <v>6487</v>
      </c>
      <c r="AC85" s="111">
        <v>0</v>
      </c>
      <c r="AD85" s="111">
        <v>0</v>
      </c>
      <c r="AE85" s="111">
        <v>0</v>
      </c>
      <c r="AF85" s="111">
        <v>0</v>
      </c>
      <c r="AG85" s="111">
        <v>0</v>
      </c>
      <c r="AH85" s="108"/>
      <c r="AI85" s="112">
        <v>0</v>
      </c>
      <c r="AJ85" s="112">
        <v>0</v>
      </c>
      <c r="AK85" s="112">
        <v>9480</v>
      </c>
      <c r="AM85" s="111">
        <v>21</v>
      </c>
      <c r="AN85" s="111">
        <v>748.24999999999977</v>
      </c>
      <c r="AO85" s="111">
        <v>1621.75</v>
      </c>
      <c r="AP85" s="113" t="s">
        <v>7</v>
      </c>
      <c r="AU85" s="111">
        <v>9480</v>
      </c>
      <c r="AV85" s="111">
        <v>2992.9999999999991</v>
      </c>
      <c r="AW85" s="111">
        <v>6487</v>
      </c>
      <c r="AX85" s="108" t="s">
        <v>182</v>
      </c>
      <c r="AY85" s="108" t="s">
        <v>183</v>
      </c>
      <c r="AZ85" s="108" t="s">
        <v>113</v>
      </c>
      <c r="BB85" s="111">
        <v>9480</v>
      </c>
      <c r="BC85" s="111">
        <v>2370</v>
      </c>
      <c r="BD85" s="111">
        <v>0</v>
      </c>
      <c r="BE85" s="111">
        <v>1.72376</v>
      </c>
      <c r="BG85" s="112">
        <v>2992.9999999999991</v>
      </c>
      <c r="BH85" s="112">
        <v>6487</v>
      </c>
      <c r="BI85" s="112">
        <v>9480</v>
      </c>
      <c r="BJ85" s="112" t="s">
        <v>118</v>
      </c>
      <c r="BK85" s="111">
        <v>89</v>
      </c>
    </row>
    <row r="86" spans="1:64" ht="12.9" x14ac:dyDescent="0.3">
      <c r="A86" s="5"/>
      <c r="C86" s="17"/>
      <c r="D86" s="79"/>
      <c r="E86" s="80"/>
      <c r="F86" s="80"/>
      <c r="G86" s="80"/>
      <c r="H86" s="80"/>
      <c r="I86" s="80"/>
      <c r="J86" s="80"/>
      <c r="K86" s="80"/>
      <c r="L86" s="100"/>
      <c r="M86" s="72"/>
    </row>
    <row r="87" spans="1:64" s="81" customFormat="1" ht="12.9" x14ac:dyDescent="0.3">
      <c r="A87" s="5"/>
      <c r="C87" s="82"/>
      <c r="D87" s="116"/>
      <c r="E87" s="117"/>
      <c r="F87" s="117"/>
      <c r="G87" s="117"/>
      <c r="H87" s="117"/>
      <c r="I87" s="117"/>
      <c r="J87" s="117"/>
      <c r="K87" s="117"/>
      <c r="L87" s="118"/>
      <c r="M87" s="72"/>
    </row>
    <row r="88" spans="1:64" s="128" customFormat="1" x14ac:dyDescent="0.3">
      <c r="A88" s="122"/>
      <c r="B88" s="123"/>
      <c r="C88" s="123"/>
      <c r="D88" s="214" t="s">
        <v>132</v>
      </c>
      <c r="E88" s="215"/>
      <c r="F88" s="124" t="s">
        <v>6</v>
      </c>
      <c r="G88" s="124" t="s">
        <v>6</v>
      </c>
      <c r="H88" s="125">
        <f>SUM(H89:H98)</f>
        <v>0</v>
      </c>
      <c r="I88" s="125">
        <f>SUM(I89:I98)</f>
        <v>0</v>
      </c>
      <c r="J88" s="125">
        <f>SUM(J89:J98)</f>
        <v>0</v>
      </c>
      <c r="K88" s="125"/>
      <c r="L88" s="153">
        <f>SUM(L89:L98)</f>
        <v>4.5429460000000006</v>
      </c>
      <c r="M88" s="139"/>
      <c r="N88" s="141"/>
      <c r="O88" s="140"/>
      <c r="AI88" s="126" t="s">
        <v>193</v>
      </c>
      <c r="AS88" s="125">
        <f>SUM(AJ89:AJ100)</f>
        <v>0</v>
      </c>
      <c r="AT88" s="125">
        <f>SUM(AK89:AK100)</f>
        <v>8764.518</v>
      </c>
      <c r="AU88" s="125">
        <f>SUM(AL89:AL100)</f>
        <v>8.1970000000000001E-2</v>
      </c>
    </row>
    <row r="89" spans="1:64" s="128" customFormat="1" ht="12.9" x14ac:dyDescent="0.3">
      <c r="A89" s="127"/>
      <c r="D89" s="136"/>
      <c r="F89" s="137"/>
      <c r="H89" s="132"/>
      <c r="L89" s="155"/>
      <c r="N89" s="140"/>
      <c r="O89" s="140"/>
    </row>
    <row r="90" spans="1:64" s="128" customFormat="1" x14ac:dyDescent="0.3">
      <c r="A90" s="129" t="s">
        <v>255</v>
      </c>
      <c r="B90" s="130"/>
      <c r="C90" s="131" t="s">
        <v>199</v>
      </c>
      <c r="D90" s="138" t="s">
        <v>200</v>
      </c>
      <c r="E90" s="131" t="s">
        <v>181</v>
      </c>
      <c r="F90" s="132">
        <v>48</v>
      </c>
      <c r="G90" s="268"/>
      <c r="H90" s="132">
        <f t="shared" ref="H90" si="1">F90*G90</f>
        <v>0</v>
      </c>
      <c r="I90" s="132">
        <v>0</v>
      </c>
      <c r="J90" s="132">
        <f>F90*G90</f>
        <v>0</v>
      </c>
      <c r="K90" s="132">
        <v>8.1970000000000001E-2</v>
      </c>
      <c r="L90" s="154">
        <f>F90*K90</f>
        <v>3.9345600000000003</v>
      </c>
      <c r="M90" s="132"/>
      <c r="N90" s="134"/>
      <c r="O90" s="140"/>
      <c r="Z90" s="133">
        <f>IF(AQ90="5",BJ90,0)</f>
        <v>0</v>
      </c>
      <c r="AB90" s="133">
        <f>IF(AQ90="1",BH90,0)</f>
        <v>0</v>
      </c>
      <c r="AC90" s="133">
        <f>IF(AQ90="1",BI90,0)</f>
        <v>0</v>
      </c>
      <c r="AD90" s="133">
        <f>IF(AQ90="7",BH90,0)</f>
        <v>0</v>
      </c>
      <c r="AE90" s="133">
        <f>IF(AQ90="7",BI90,0)</f>
        <v>0</v>
      </c>
      <c r="AF90" s="133">
        <f>IF(AQ90="2",BH90,0)</f>
        <v>0</v>
      </c>
      <c r="AG90" s="133">
        <f>IF(AQ90="2",BI90,0)</f>
        <v>0</v>
      </c>
      <c r="AH90" s="133">
        <f>IF(AQ90="0",BJ90,0)</f>
        <v>0</v>
      </c>
      <c r="AI90" s="126" t="s">
        <v>193</v>
      </c>
      <c r="AJ90" s="132">
        <f>IF(AN90=0,K90,0)</f>
        <v>0</v>
      </c>
      <c r="AK90" s="132">
        <f>IF(AN90=15,K90,0)</f>
        <v>0</v>
      </c>
      <c r="AL90" s="132">
        <f>IF(AN90=21,K90,0)</f>
        <v>8.1970000000000001E-2</v>
      </c>
      <c r="AN90" s="133">
        <v>21</v>
      </c>
      <c r="AO90" s="133">
        <f>H90*1</f>
        <v>0</v>
      </c>
      <c r="AP90" s="133">
        <f>H90*(1-1)</f>
        <v>0</v>
      </c>
      <c r="AQ90" s="134" t="s">
        <v>194</v>
      </c>
      <c r="AV90" s="133">
        <f>AW90+AX90</f>
        <v>0</v>
      </c>
      <c r="AW90" s="133">
        <f>G90*AO90</f>
        <v>0</v>
      </c>
      <c r="AX90" s="133">
        <f>G90*AP90</f>
        <v>0</v>
      </c>
      <c r="AY90" s="135" t="s">
        <v>195</v>
      </c>
      <c r="AZ90" s="135" t="s">
        <v>196</v>
      </c>
      <c r="BA90" s="126" t="s">
        <v>197</v>
      </c>
      <c r="BC90" s="133">
        <f>AW90+AX90</f>
        <v>0</v>
      </c>
      <c r="BD90" s="133">
        <f>H90/(100-BE90)*100</f>
        <v>0</v>
      </c>
      <c r="BE90" s="133">
        <v>0</v>
      </c>
      <c r="BF90" s="133">
        <f>M90</f>
        <v>0</v>
      </c>
      <c r="BH90" s="132">
        <f>G90*AO90</f>
        <v>0</v>
      </c>
      <c r="BI90" s="132">
        <f>G90*AP90</f>
        <v>0</v>
      </c>
      <c r="BJ90" s="132">
        <f>G90*H90</f>
        <v>0</v>
      </c>
      <c r="BK90" s="132" t="s">
        <v>198</v>
      </c>
      <c r="BL90" s="133"/>
    </row>
    <row r="91" spans="1:64" s="81" customFormat="1" x14ac:dyDescent="0.3">
      <c r="A91" s="160" t="s">
        <v>256</v>
      </c>
      <c r="B91" s="160"/>
      <c r="C91" s="160"/>
      <c r="D91" s="160" t="s">
        <v>262</v>
      </c>
      <c r="E91" s="160" t="s">
        <v>181</v>
      </c>
      <c r="F91" s="161">
        <v>2</v>
      </c>
      <c r="G91" s="269"/>
      <c r="H91" s="161">
        <f>G91*F91</f>
        <v>0</v>
      </c>
      <c r="I91" s="161">
        <v>0</v>
      </c>
      <c r="J91" s="161">
        <f>H91</f>
        <v>0</v>
      </c>
      <c r="K91" s="161">
        <v>0.09</v>
      </c>
      <c r="L91" s="162">
        <f>K91*F91</f>
        <v>0.18</v>
      </c>
      <c r="Y91" s="33"/>
      <c r="AA91" s="33"/>
      <c r="AB91" s="33"/>
      <c r="AC91" s="33"/>
      <c r="AD91" s="33"/>
      <c r="AE91" s="33"/>
      <c r="AF91" s="33"/>
      <c r="AG91" s="33"/>
      <c r="AH91" s="30"/>
      <c r="AI91" s="83"/>
      <c r="AJ91" s="83"/>
      <c r="AK91" s="83"/>
      <c r="AM91" s="33"/>
      <c r="AN91" s="33"/>
      <c r="AO91" s="33"/>
      <c r="AP91" s="34"/>
      <c r="AU91" s="33"/>
      <c r="AV91" s="33"/>
      <c r="AW91" s="33"/>
      <c r="AX91" s="35"/>
      <c r="AY91" s="35"/>
      <c r="AZ91" s="30"/>
      <c r="BB91" s="33"/>
      <c r="BC91" s="33"/>
      <c r="BD91" s="33"/>
      <c r="BE91" s="33"/>
      <c r="BG91" s="83"/>
      <c r="BH91" s="83"/>
      <c r="BI91" s="83"/>
    </row>
    <row r="92" spans="1:64" s="81" customFormat="1" x14ac:dyDescent="0.3">
      <c r="A92" s="160" t="s">
        <v>257</v>
      </c>
      <c r="B92" s="160"/>
      <c r="C92" s="160"/>
      <c r="D92" s="160" t="s">
        <v>263</v>
      </c>
      <c r="E92" s="160" t="s">
        <v>181</v>
      </c>
      <c r="F92" s="161">
        <v>2</v>
      </c>
      <c r="G92" s="269"/>
      <c r="H92" s="161">
        <f t="shared" ref="H92" si="2">G92*F92</f>
        <v>0</v>
      </c>
      <c r="I92" s="161">
        <v>0</v>
      </c>
      <c r="J92" s="161">
        <f t="shared" ref="J92" si="3">H92</f>
        <v>0</v>
      </c>
      <c r="K92" s="161">
        <v>5.16E-2</v>
      </c>
      <c r="L92" s="162">
        <f t="shared" ref="L92:L93" si="4">K92*F92</f>
        <v>0.1032</v>
      </c>
      <c r="Y92" s="33"/>
      <c r="AA92" s="33"/>
      <c r="AB92" s="33"/>
      <c r="AC92" s="33"/>
      <c r="AD92" s="33"/>
      <c r="AE92" s="33"/>
      <c r="AF92" s="33"/>
      <c r="AG92" s="33"/>
      <c r="AH92" s="30"/>
      <c r="AI92" s="83"/>
      <c r="AJ92" s="83"/>
      <c r="AK92" s="83"/>
      <c r="AM92" s="33"/>
      <c r="AN92" s="33"/>
      <c r="AO92" s="33"/>
      <c r="AP92" s="34"/>
      <c r="AU92" s="33"/>
      <c r="AV92" s="33"/>
      <c r="AW92" s="33"/>
      <c r="AX92" s="35"/>
      <c r="AY92" s="35"/>
      <c r="AZ92" s="30"/>
      <c r="BB92" s="33"/>
      <c r="BC92" s="33"/>
      <c r="BD92" s="33"/>
      <c r="BE92" s="33"/>
      <c r="BG92" s="83"/>
      <c r="BH92" s="83"/>
      <c r="BI92" s="83"/>
    </row>
    <row r="93" spans="1:64" s="81" customFormat="1" x14ac:dyDescent="0.3">
      <c r="A93" s="160" t="s">
        <v>268</v>
      </c>
      <c r="B93" s="160"/>
      <c r="C93" s="160"/>
      <c r="D93" s="160" t="s">
        <v>264</v>
      </c>
      <c r="E93" s="160" t="s">
        <v>181</v>
      </c>
      <c r="F93" s="161">
        <v>2</v>
      </c>
      <c r="G93" s="269"/>
      <c r="H93" s="161">
        <f>G93*F93</f>
        <v>0</v>
      </c>
      <c r="I93" s="161">
        <v>0</v>
      </c>
      <c r="J93" s="161">
        <f>H93</f>
        <v>0</v>
      </c>
      <c r="K93" s="161">
        <v>8.9999999999999993E-3</v>
      </c>
      <c r="L93" s="162">
        <f t="shared" si="4"/>
        <v>1.7999999999999999E-2</v>
      </c>
      <c r="Y93" s="33"/>
      <c r="AA93" s="33"/>
      <c r="AB93" s="33"/>
      <c r="AC93" s="33"/>
      <c r="AD93" s="33"/>
      <c r="AE93" s="33"/>
      <c r="AF93" s="33"/>
      <c r="AG93" s="33"/>
      <c r="AH93" s="30"/>
      <c r="AI93" s="83"/>
      <c r="AJ93" s="83"/>
      <c r="AK93" s="83"/>
      <c r="AM93" s="33"/>
      <c r="AN93" s="33"/>
      <c r="AO93" s="33"/>
      <c r="AP93" s="34"/>
      <c r="AU93" s="33"/>
      <c r="AV93" s="33"/>
      <c r="AW93" s="33"/>
      <c r="AX93" s="35"/>
      <c r="AY93" s="35"/>
      <c r="AZ93" s="30"/>
      <c r="BB93" s="33"/>
      <c r="BC93" s="33"/>
      <c r="BD93" s="33"/>
      <c r="BE93" s="33"/>
      <c r="BG93" s="83"/>
      <c r="BH93" s="83"/>
      <c r="BI93" s="83"/>
    </row>
    <row r="94" spans="1:64" s="81" customFormat="1" x14ac:dyDescent="0.3">
      <c r="A94" s="160" t="s">
        <v>269</v>
      </c>
      <c r="B94" s="160"/>
      <c r="C94" s="160"/>
      <c r="D94" s="160" t="s">
        <v>265</v>
      </c>
      <c r="E94" s="160" t="s">
        <v>181</v>
      </c>
      <c r="F94" s="161">
        <v>2</v>
      </c>
      <c r="G94" s="269"/>
      <c r="H94" s="161">
        <f>G94*F94</f>
        <v>0</v>
      </c>
      <c r="I94" s="161">
        <v>0</v>
      </c>
      <c r="J94" s="161">
        <f>H94</f>
        <v>0</v>
      </c>
      <c r="K94" s="161">
        <v>8.9999999999999993E-3</v>
      </c>
      <c r="L94" s="162">
        <f t="shared" ref="L94:L95" si="5">K94*F94</f>
        <v>1.7999999999999999E-2</v>
      </c>
      <c r="Y94" s="33"/>
      <c r="AA94" s="33"/>
      <c r="AB94" s="33"/>
      <c r="AC94" s="33"/>
      <c r="AD94" s="33"/>
      <c r="AE94" s="33"/>
      <c r="AF94" s="33"/>
      <c r="AG94" s="33"/>
      <c r="AH94" s="30"/>
      <c r="AI94" s="83"/>
      <c r="AJ94" s="83"/>
      <c r="AK94" s="83"/>
      <c r="AM94" s="33"/>
      <c r="AN94" s="33"/>
      <c r="AO94" s="33"/>
      <c r="AP94" s="34"/>
      <c r="AU94" s="33"/>
      <c r="AV94" s="33"/>
      <c r="AW94" s="33"/>
      <c r="AX94" s="35"/>
      <c r="AY94" s="35"/>
      <c r="AZ94" s="30"/>
      <c r="BB94" s="33"/>
      <c r="BC94" s="33"/>
      <c r="BD94" s="33"/>
      <c r="BE94" s="33"/>
      <c r="BG94" s="83"/>
      <c r="BH94" s="83"/>
      <c r="BI94" s="83"/>
    </row>
    <row r="95" spans="1:64" s="81" customFormat="1" x14ac:dyDescent="0.3">
      <c r="A95" s="160" t="s">
        <v>270</v>
      </c>
      <c r="B95" s="160"/>
      <c r="C95" s="160"/>
      <c r="D95" s="160" t="s">
        <v>266</v>
      </c>
      <c r="E95" s="160" t="s">
        <v>181</v>
      </c>
      <c r="F95" s="161">
        <v>1</v>
      </c>
      <c r="G95" s="269"/>
      <c r="H95" s="161">
        <f>G95*F95</f>
        <v>0</v>
      </c>
      <c r="I95" s="161">
        <v>0</v>
      </c>
      <c r="J95" s="161">
        <f>H95</f>
        <v>0</v>
      </c>
      <c r="K95" s="161">
        <v>8.9999999999999993E-3</v>
      </c>
      <c r="L95" s="162">
        <f t="shared" si="5"/>
        <v>8.9999999999999993E-3</v>
      </c>
      <c r="Y95" s="33"/>
      <c r="AA95" s="33"/>
      <c r="AB95" s="33"/>
      <c r="AC95" s="33"/>
      <c r="AD95" s="33"/>
      <c r="AE95" s="33"/>
      <c r="AF95" s="33"/>
      <c r="AG95" s="33"/>
      <c r="AH95" s="30"/>
      <c r="AI95" s="83"/>
      <c r="AJ95" s="83"/>
      <c r="AK95" s="83"/>
      <c r="AM95" s="33"/>
      <c r="AN95" s="33"/>
      <c r="AO95" s="33"/>
      <c r="AP95" s="34"/>
      <c r="AU95" s="33"/>
      <c r="AV95" s="33"/>
      <c r="AW95" s="33"/>
      <c r="AX95" s="35"/>
      <c r="AY95" s="35"/>
      <c r="AZ95" s="30"/>
      <c r="BB95" s="33"/>
      <c r="BC95" s="33"/>
      <c r="BD95" s="33"/>
      <c r="BE95" s="33"/>
      <c r="BG95" s="83"/>
      <c r="BH95" s="83"/>
      <c r="BI95" s="83"/>
    </row>
    <row r="96" spans="1:64" s="81" customFormat="1" x14ac:dyDescent="0.3">
      <c r="A96" s="160" t="s">
        <v>299</v>
      </c>
      <c r="B96" s="160"/>
      <c r="C96" s="160"/>
      <c r="D96" s="160" t="s">
        <v>267</v>
      </c>
      <c r="E96" s="160" t="s">
        <v>181</v>
      </c>
      <c r="F96" s="161">
        <v>23</v>
      </c>
      <c r="G96" s="269"/>
      <c r="H96" s="161">
        <f>G96*F96</f>
        <v>0</v>
      </c>
      <c r="I96" s="161">
        <v>0</v>
      </c>
      <c r="J96" s="161">
        <f>H96</f>
        <v>0</v>
      </c>
      <c r="K96" s="161">
        <v>8.9999999999999993E-3</v>
      </c>
      <c r="L96" s="162">
        <f t="shared" ref="L96" si="6">K96*F96</f>
        <v>0.20699999999999999</v>
      </c>
      <c r="Y96" s="33"/>
      <c r="AA96" s="33"/>
      <c r="AB96" s="33"/>
      <c r="AC96" s="33"/>
      <c r="AD96" s="33"/>
      <c r="AE96" s="33"/>
      <c r="AF96" s="33"/>
      <c r="AG96" s="33"/>
      <c r="AH96" s="30"/>
      <c r="AI96" s="83"/>
      <c r="AJ96" s="83"/>
      <c r="AK96" s="83"/>
      <c r="AM96" s="33"/>
      <c r="AN96" s="33"/>
      <c r="AO96" s="33"/>
      <c r="AP96" s="34"/>
      <c r="AU96" s="33"/>
      <c r="AV96" s="33"/>
      <c r="AW96" s="33"/>
      <c r="AX96" s="35"/>
      <c r="AY96" s="35"/>
      <c r="AZ96" s="30"/>
      <c r="BB96" s="33"/>
      <c r="BC96" s="33"/>
      <c r="BD96" s="33"/>
      <c r="BE96" s="33"/>
      <c r="BG96" s="83"/>
      <c r="BH96" s="83"/>
      <c r="BI96" s="83"/>
    </row>
    <row r="97" spans="1:63" s="81" customFormat="1" x14ac:dyDescent="0.3">
      <c r="A97" s="184" t="s">
        <v>300</v>
      </c>
      <c r="B97" s="160"/>
      <c r="C97" s="160" t="s">
        <v>279</v>
      </c>
      <c r="D97" s="160" t="s">
        <v>292</v>
      </c>
      <c r="E97" s="160" t="s">
        <v>73</v>
      </c>
      <c r="F97" s="161">
        <v>74</v>
      </c>
      <c r="G97" s="269"/>
      <c r="H97" s="161">
        <f t="shared" ref="H97:H98" si="7">G97*F97</f>
        <v>0</v>
      </c>
      <c r="I97" s="161">
        <v>0</v>
      </c>
      <c r="J97" s="161">
        <f t="shared" ref="J97:J98" si="8">H97</f>
        <v>0</v>
      </c>
      <c r="K97" s="161">
        <v>2.0000000000000001E-4</v>
      </c>
      <c r="L97" s="161">
        <v>2.3736000000000004E-2</v>
      </c>
      <c r="M97" s="175"/>
      <c r="N97" s="176"/>
      <c r="O97" s="176"/>
      <c r="P97" s="176"/>
      <c r="Q97" s="176"/>
      <c r="R97" s="176"/>
      <c r="S97" s="176"/>
      <c r="T97" s="176"/>
      <c r="U97" s="176"/>
      <c r="V97" s="176"/>
      <c r="W97" s="176"/>
      <c r="X97" s="176"/>
      <c r="Y97" s="177">
        <v>0</v>
      </c>
      <c r="Z97" s="176"/>
      <c r="AA97" s="177">
        <v>0</v>
      </c>
      <c r="AB97" s="177">
        <v>0</v>
      </c>
      <c r="AC97" s="177">
        <v>0</v>
      </c>
      <c r="AD97" s="177">
        <v>0</v>
      </c>
      <c r="AE97" s="177">
        <v>0</v>
      </c>
      <c r="AF97" s="177">
        <v>0</v>
      </c>
      <c r="AG97" s="177">
        <v>6361.2480000000005</v>
      </c>
      <c r="AH97" s="178"/>
      <c r="AI97" s="161">
        <v>0</v>
      </c>
      <c r="AJ97" s="161">
        <v>0</v>
      </c>
      <c r="AK97" s="161">
        <v>6361.2480000000005</v>
      </c>
      <c r="AL97" s="176"/>
      <c r="AM97" s="177">
        <v>21</v>
      </c>
      <c r="AN97" s="177">
        <v>53.6</v>
      </c>
      <c r="AO97" s="177">
        <v>0</v>
      </c>
      <c r="AP97" s="185" t="s">
        <v>194</v>
      </c>
      <c r="AQ97" s="176"/>
      <c r="AR97" s="176"/>
      <c r="AS97" s="176"/>
      <c r="AT97" s="176"/>
      <c r="AU97" s="177">
        <v>6361.2480000000005</v>
      </c>
      <c r="AV97" s="177">
        <v>6361.2480000000005</v>
      </c>
      <c r="AW97" s="177">
        <v>0</v>
      </c>
      <c r="AX97" s="180" t="s">
        <v>195</v>
      </c>
      <c r="AY97" s="180" t="s">
        <v>289</v>
      </c>
      <c r="AZ97" s="178" t="s">
        <v>113</v>
      </c>
      <c r="BA97" s="176"/>
      <c r="BB97" s="177">
        <v>6361.2480000000005</v>
      </c>
      <c r="BC97" s="177">
        <v>53.6</v>
      </c>
      <c r="BD97" s="177">
        <v>0</v>
      </c>
      <c r="BE97" s="177">
        <v>2.3736000000000004E-2</v>
      </c>
      <c r="BF97" s="176"/>
      <c r="BG97" s="161">
        <v>6361.2480000000005</v>
      </c>
      <c r="BH97" s="161">
        <v>0</v>
      </c>
      <c r="BI97" s="161">
        <v>6361.2480000000005</v>
      </c>
      <c r="BJ97" s="161" t="s">
        <v>198</v>
      </c>
      <c r="BK97" s="177"/>
    </row>
    <row r="98" spans="1:63" s="81" customFormat="1" x14ac:dyDescent="0.3">
      <c r="A98" s="184" t="s">
        <v>301</v>
      </c>
      <c r="B98" s="160"/>
      <c r="C98" s="160" t="s">
        <v>280</v>
      </c>
      <c r="D98" s="160" t="s">
        <v>293</v>
      </c>
      <c r="E98" s="160" t="s">
        <v>73</v>
      </c>
      <c r="F98" s="161">
        <v>74</v>
      </c>
      <c r="G98" s="269"/>
      <c r="H98" s="161">
        <f t="shared" si="7"/>
        <v>0</v>
      </c>
      <c r="I98" s="161">
        <v>0</v>
      </c>
      <c r="J98" s="161">
        <f t="shared" si="8"/>
        <v>0</v>
      </c>
      <c r="K98" s="161">
        <v>5.0000000000000001E-4</v>
      </c>
      <c r="L98" s="161">
        <v>4.9450000000000001E-2</v>
      </c>
      <c r="M98" s="175"/>
      <c r="N98" s="176"/>
      <c r="O98" s="176"/>
      <c r="P98" s="176"/>
      <c r="Q98" s="176"/>
      <c r="R98" s="176"/>
      <c r="S98" s="176"/>
      <c r="T98" s="176"/>
      <c r="U98" s="176"/>
      <c r="V98" s="176"/>
      <c r="W98" s="176"/>
      <c r="X98" s="176"/>
      <c r="Y98" s="177">
        <v>0</v>
      </c>
      <c r="Z98" s="176"/>
      <c r="AA98" s="177">
        <v>0</v>
      </c>
      <c r="AB98" s="177">
        <v>0</v>
      </c>
      <c r="AC98" s="177">
        <v>0</v>
      </c>
      <c r="AD98" s="177">
        <v>0</v>
      </c>
      <c r="AE98" s="177">
        <v>0</v>
      </c>
      <c r="AF98" s="177">
        <v>0</v>
      </c>
      <c r="AG98" s="177">
        <v>2403.27</v>
      </c>
      <c r="AH98" s="178"/>
      <c r="AI98" s="161">
        <v>0</v>
      </c>
      <c r="AJ98" s="161">
        <v>0</v>
      </c>
      <c r="AK98" s="161">
        <v>2403.27</v>
      </c>
      <c r="AL98" s="176"/>
      <c r="AM98" s="177">
        <v>21</v>
      </c>
      <c r="AN98" s="177">
        <v>24.3</v>
      </c>
      <c r="AO98" s="177">
        <v>0</v>
      </c>
      <c r="AP98" s="185" t="s">
        <v>194</v>
      </c>
      <c r="AQ98" s="176"/>
      <c r="AR98" s="176"/>
      <c r="AS98" s="176"/>
      <c r="AT98" s="176"/>
      <c r="AU98" s="177">
        <v>2403.27</v>
      </c>
      <c r="AV98" s="177">
        <v>2403.27</v>
      </c>
      <c r="AW98" s="177">
        <v>0</v>
      </c>
      <c r="AX98" s="180" t="s">
        <v>195</v>
      </c>
      <c r="AY98" s="180" t="s">
        <v>289</v>
      </c>
      <c r="AZ98" s="178" t="s">
        <v>113</v>
      </c>
      <c r="BA98" s="176"/>
      <c r="BB98" s="177">
        <v>2403.27</v>
      </c>
      <c r="BC98" s="177">
        <v>24.3</v>
      </c>
      <c r="BD98" s="177">
        <v>0</v>
      </c>
      <c r="BE98" s="177">
        <v>4.9450000000000001E-2</v>
      </c>
      <c r="BF98" s="176"/>
      <c r="BG98" s="161">
        <v>2403.27</v>
      </c>
      <c r="BH98" s="161">
        <v>0</v>
      </c>
      <c r="BI98" s="161">
        <v>2403.27</v>
      </c>
      <c r="BJ98" s="161" t="s">
        <v>198</v>
      </c>
      <c r="BK98" s="177"/>
    </row>
    <row r="99" spans="1:63" ht="12.9" x14ac:dyDescent="0.3">
      <c r="A99" s="5"/>
      <c r="C99" s="16"/>
      <c r="D99" s="203"/>
      <c r="E99" s="204"/>
      <c r="F99" s="204"/>
      <c r="G99" s="204"/>
      <c r="H99" s="204"/>
      <c r="I99" s="204"/>
      <c r="J99" s="204"/>
      <c r="K99" s="204"/>
      <c r="L99" s="205"/>
      <c r="M99" s="72"/>
    </row>
    <row r="100" spans="1:63" x14ac:dyDescent="0.3">
      <c r="A100" s="6"/>
      <c r="B100" s="14"/>
      <c r="C100" s="14" t="s">
        <v>31</v>
      </c>
      <c r="D100" s="14" t="s">
        <v>62</v>
      </c>
      <c r="E100" s="22" t="s">
        <v>6</v>
      </c>
      <c r="F100" s="22" t="s">
        <v>6</v>
      </c>
      <c r="G100" s="22" t="s">
        <v>6</v>
      </c>
      <c r="H100" s="38">
        <f>SUM(H101:H101)</f>
        <v>0</v>
      </c>
      <c r="I100" s="38">
        <f>SUM(I101:I101)</f>
        <v>0</v>
      </c>
      <c r="J100" s="38">
        <f>SUM(J101:J101)</f>
        <v>0</v>
      </c>
      <c r="K100" s="30"/>
      <c r="L100" s="99">
        <f>SUM(L101:L101)</f>
        <v>0</v>
      </c>
      <c r="M100" s="72"/>
      <c r="AH100" s="30"/>
      <c r="AR100" s="38">
        <f>SUM(AI101:AI101)</f>
        <v>0</v>
      </c>
      <c r="AS100" s="38">
        <f>SUM(AJ101:AJ101)</f>
        <v>0</v>
      </c>
      <c r="AT100" s="38">
        <f>SUM(AK101:AK101)</f>
        <v>0</v>
      </c>
    </row>
    <row r="101" spans="1:63" x14ac:dyDescent="0.3">
      <c r="A101" s="73" t="s">
        <v>302</v>
      </c>
      <c r="B101" s="73"/>
      <c r="C101" s="73" t="s">
        <v>32</v>
      </c>
      <c r="D101" s="73" t="s">
        <v>63</v>
      </c>
      <c r="E101" s="73" t="s">
        <v>75</v>
      </c>
      <c r="F101" s="77">
        <f>L88+L83+L73+L49+L57</f>
        <v>721.736806</v>
      </c>
      <c r="G101" s="270"/>
      <c r="H101" s="77">
        <f>F101*AN101</f>
        <v>0</v>
      </c>
      <c r="I101" s="77">
        <f>F101*AO101</f>
        <v>0</v>
      </c>
      <c r="J101" s="77">
        <f>F101*G101</f>
        <v>0</v>
      </c>
      <c r="K101" s="77">
        <v>0</v>
      </c>
      <c r="L101" s="151">
        <f>F101*K101</f>
        <v>0</v>
      </c>
      <c r="M101" s="72"/>
      <c r="Y101" s="33">
        <f>IF(AP101="5",BI101,0)</f>
        <v>0</v>
      </c>
      <c r="AA101" s="33">
        <f>IF(AP101="1",BG101,0)</f>
        <v>0</v>
      </c>
      <c r="AB101" s="33">
        <f>IF(AP101="1",BH101,0)</f>
        <v>0</v>
      </c>
      <c r="AC101" s="33">
        <f>IF(AP101="7",BG101,0)</f>
        <v>0</v>
      </c>
      <c r="AD101" s="33">
        <f>IF(AP101="7",BH101,0)</f>
        <v>0</v>
      </c>
      <c r="AE101" s="33">
        <f>IF(AP101="2",BG101,0)</f>
        <v>0</v>
      </c>
      <c r="AF101" s="33">
        <f>IF(AP101="2",BH101,0)</f>
        <v>0</v>
      </c>
      <c r="AG101" s="33">
        <f>IF(AP101="0",BI101,0)</f>
        <v>0</v>
      </c>
      <c r="AH101" s="30"/>
      <c r="AI101" s="23">
        <f>IF(AM101=0,J101,0)</f>
        <v>0</v>
      </c>
      <c r="AJ101" s="23">
        <f>IF(AM101=15,J101,0)</f>
        <v>0</v>
      </c>
      <c r="AK101" s="23">
        <f>IF(AM101=21,J101,0)</f>
        <v>0</v>
      </c>
      <c r="AM101" s="33">
        <v>21</v>
      </c>
      <c r="AN101" s="33">
        <f>G101*0</f>
        <v>0</v>
      </c>
      <c r="AO101" s="33">
        <f>G101*(1-0)</f>
        <v>0</v>
      </c>
      <c r="AP101" s="34" t="s">
        <v>11</v>
      </c>
      <c r="AU101" s="33">
        <f>AV101+AW101</f>
        <v>0</v>
      </c>
      <c r="AV101" s="33">
        <f>F101*AN101</f>
        <v>0</v>
      </c>
      <c r="AW101" s="33">
        <f>F101*AO101</f>
        <v>0</v>
      </c>
      <c r="AX101" s="35" t="s">
        <v>107</v>
      </c>
      <c r="AY101" s="35" t="s">
        <v>112</v>
      </c>
      <c r="AZ101" s="30" t="s">
        <v>113</v>
      </c>
      <c r="BB101" s="33">
        <f>AV101+AW101</f>
        <v>0</v>
      </c>
      <c r="BC101" s="33">
        <f>G101/(100-BD101)*100</f>
        <v>0</v>
      </c>
      <c r="BD101" s="33">
        <v>0</v>
      </c>
      <c r="BE101" s="33">
        <f>L101</f>
        <v>0</v>
      </c>
      <c r="BG101" s="23">
        <f>F101*AN101</f>
        <v>0</v>
      </c>
      <c r="BH101" s="23">
        <f>F101*AO101</f>
        <v>0</v>
      </c>
      <c r="BI101" s="23">
        <f>F101*G101</f>
        <v>0</v>
      </c>
      <c r="BJ101" s="23" t="s">
        <v>118</v>
      </c>
      <c r="BK101" s="33" t="s">
        <v>31</v>
      </c>
    </row>
    <row r="102" spans="1:63" ht="12.9" x14ac:dyDescent="0.3">
      <c r="A102" s="74"/>
      <c r="B102" s="75"/>
      <c r="C102" s="75"/>
      <c r="D102" s="76"/>
      <c r="E102" s="75"/>
      <c r="F102" s="78"/>
      <c r="G102" s="75"/>
      <c r="H102" s="75"/>
      <c r="I102" s="75"/>
      <c r="J102" s="75"/>
      <c r="K102" s="75"/>
      <c r="L102" s="152"/>
      <c r="M102" s="72"/>
    </row>
    <row r="103" spans="1:63" x14ac:dyDescent="0.3">
      <c r="A103" s="6"/>
      <c r="B103" s="14"/>
      <c r="C103" s="14" t="s">
        <v>33</v>
      </c>
      <c r="D103" s="14" t="s">
        <v>64</v>
      </c>
      <c r="E103" s="22" t="s">
        <v>6</v>
      </c>
      <c r="F103" s="22" t="s">
        <v>6</v>
      </c>
      <c r="G103" s="22" t="s">
        <v>6</v>
      </c>
      <c r="H103" s="38">
        <f>SUM(H104:H111)</f>
        <v>0</v>
      </c>
      <c r="I103" s="38">
        <f>SUM(I104:I111)</f>
        <v>0</v>
      </c>
      <c r="J103" s="38">
        <f>SUM(J104:J111)</f>
        <v>0</v>
      </c>
      <c r="K103" s="30"/>
      <c r="L103" s="99">
        <f>SUM(L104:L111)</f>
        <v>0</v>
      </c>
      <c r="M103" s="72"/>
      <c r="AH103" s="30"/>
      <c r="AR103" s="38">
        <f>SUM(AI104:AI111)</f>
        <v>0</v>
      </c>
      <c r="AS103" s="38">
        <f>SUM(AJ104:AJ111)</f>
        <v>0</v>
      </c>
      <c r="AT103" s="38">
        <f>SUM(AK104:AK111)</f>
        <v>0</v>
      </c>
    </row>
    <row r="104" spans="1:63" x14ac:dyDescent="0.3">
      <c r="A104" s="4" t="s">
        <v>303</v>
      </c>
      <c r="B104" s="13"/>
      <c r="C104" s="13" t="s">
        <v>34</v>
      </c>
      <c r="D104" s="13" t="s">
        <v>65</v>
      </c>
      <c r="E104" s="13" t="s">
        <v>75</v>
      </c>
      <c r="F104" s="23">
        <f>L30</f>
        <v>525.70000000000005</v>
      </c>
      <c r="G104" s="255"/>
      <c r="H104" s="23">
        <f>F104*AN104</f>
        <v>0</v>
      </c>
      <c r="I104" s="23">
        <f>F104*AO104</f>
        <v>0</v>
      </c>
      <c r="J104" s="23">
        <f>F104*G104</f>
        <v>0</v>
      </c>
      <c r="K104" s="23">
        <v>0</v>
      </c>
      <c r="L104" s="23">
        <f>F104*K104</f>
        <v>0</v>
      </c>
      <c r="M104" s="5"/>
      <c r="Y104" s="33">
        <f>IF(AP104="5",BI104,0)</f>
        <v>0</v>
      </c>
      <c r="AA104" s="33">
        <f>IF(AP104="1",BG104,0)</f>
        <v>0</v>
      </c>
      <c r="AB104" s="33">
        <f>IF(AP104="1",BH104,0)</f>
        <v>0</v>
      </c>
      <c r="AC104" s="33">
        <f>IF(AP104="7",BG104,0)</f>
        <v>0</v>
      </c>
      <c r="AD104" s="33">
        <f>IF(AP104="7",BH104,0)</f>
        <v>0</v>
      </c>
      <c r="AE104" s="33">
        <f>IF(AP104="2",BG104,0)</f>
        <v>0</v>
      </c>
      <c r="AF104" s="33">
        <f>IF(AP104="2",BH104,0)</f>
        <v>0</v>
      </c>
      <c r="AG104" s="33">
        <f>IF(AP104="0",BI104,0)</f>
        <v>0</v>
      </c>
      <c r="AH104" s="30"/>
      <c r="AI104" s="23">
        <f>IF(AM104=0,J104,0)</f>
        <v>0</v>
      </c>
      <c r="AJ104" s="23">
        <f>IF(AM104=15,J104,0)</f>
        <v>0</v>
      </c>
      <c r="AK104" s="23">
        <f>IF(AM104=21,J104,0)</f>
        <v>0</v>
      </c>
      <c r="AM104" s="33">
        <v>21</v>
      </c>
      <c r="AN104" s="33">
        <f>G104*0</f>
        <v>0</v>
      </c>
      <c r="AO104" s="33">
        <f>G104*(1-0)</f>
        <v>0</v>
      </c>
      <c r="AP104" s="34" t="s">
        <v>11</v>
      </c>
      <c r="AU104" s="33">
        <f>AV104+AW104</f>
        <v>0</v>
      </c>
      <c r="AV104" s="33">
        <f>F104*AN104</f>
        <v>0</v>
      </c>
      <c r="AW104" s="33">
        <f>F104*AO104</f>
        <v>0</v>
      </c>
      <c r="AX104" s="35" t="s">
        <v>108</v>
      </c>
      <c r="AY104" s="35" t="s">
        <v>112</v>
      </c>
      <c r="AZ104" s="30" t="s">
        <v>113</v>
      </c>
      <c r="BB104" s="33">
        <f>AV104+AW104</f>
        <v>0</v>
      </c>
      <c r="BC104" s="33">
        <f>G104/(100-BD104)*100</f>
        <v>0</v>
      </c>
      <c r="BD104" s="33">
        <v>0</v>
      </c>
      <c r="BE104" s="33">
        <f>L104</f>
        <v>0</v>
      </c>
      <c r="BG104" s="23">
        <f>F104*AN104</f>
        <v>0</v>
      </c>
      <c r="BH104" s="23">
        <f>F104*AO104</f>
        <v>0</v>
      </c>
      <c r="BI104" s="23">
        <f>F104*G104</f>
        <v>0</v>
      </c>
      <c r="BJ104" s="23" t="s">
        <v>118</v>
      </c>
      <c r="BK104" s="33" t="s">
        <v>33</v>
      </c>
    </row>
    <row r="105" spans="1:63" x14ac:dyDescent="0.3">
      <c r="A105" s="4" t="s">
        <v>273</v>
      </c>
      <c r="B105" s="13"/>
      <c r="C105" s="13" t="s">
        <v>35</v>
      </c>
      <c r="D105" s="13" t="s">
        <v>66</v>
      </c>
      <c r="E105" s="13" t="s">
        <v>75</v>
      </c>
      <c r="F105" s="23">
        <f>F104*10</f>
        <v>5257</v>
      </c>
      <c r="G105" s="255"/>
      <c r="H105" s="23">
        <f>F105*AN105</f>
        <v>0</v>
      </c>
      <c r="I105" s="23">
        <f>F105*AO105</f>
        <v>0</v>
      </c>
      <c r="J105" s="23">
        <f>F105*G105</f>
        <v>0</v>
      </c>
      <c r="K105" s="23">
        <v>0</v>
      </c>
      <c r="L105" s="23">
        <f>F105*K105</f>
        <v>0</v>
      </c>
      <c r="M105" s="5"/>
      <c r="Y105" s="33">
        <f>IF(AP105="5",BI105,0)</f>
        <v>0</v>
      </c>
      <c r="AA105" s="33">
        <f>IF(AP105="1",BG105,0)</f>
        <v>0</v>
      </c>
      <c r="AB105" s="33">
        <f>IF(AP105="1",BH105,0)</f>
        <v>0</v>
      </c>
      <c r="AC105" s="33">
        <f>IF(AP105="7",BG105,0)</f>
        <v>0</v>
      </c>
      <c r="AD105" s="33">
        <f>IF(AP105="7",BH105,0)</f>
        <v>0</v>
      </c>
      <c r="AE105" s="33">
        <f>IF(AP105="2",BG105,0)</f>
        <v>0</v>
      </c>
      <c r="AF105" s="33">
        <f>IF(AP105="2",BH105,0)</f>
        <v>0</v>
      </c>
      <c r="AG105" s="33">
        <f>IF(AP105="0",BI105,0)</f>
        <v>0</v>
      </c>
      <c r="AH105" s="30"/>
      <c r="AI105" s="23">
        <f>IF(AM105=0,J105,0)</f>
        <v>0</v>
      </c>
      <c r="AJ105" s="23">
        <f>IF(AM105=15,J105,0)</f>
        <v>0</v>
      </c>
      <c r="AK105" s="23">
        <f>IF(AM105=21,J105,0)</f>
        <v>0</v>
      </c>
      <c r="AM105" s="33">
        <v>21</v>
      </c>
      <c r="AN105" s="33">
        <f>G105*0</f>
        <v>0</v>
      </c>
      <c r="AO105" s="33">
        <f>G105*(1-0)</f>
        <v>0</v>
      </c>
      <c r="AP105" s="34" t="s">
        <v>11</v>
      </c>
      <c r="AU105" s="33">
        <f>AV105+AW105</f>
        <v>0</v>
      </c>
      <c r="AV105" s="33">
        <f>F105*AN105</f>
        <v>0</v>
      </c>
      <c r="AW105" s="33">
        <f>F105*AO105</f>
        <v>0</v>
      </c>
      <c r="AX105" s="35" t="s">
        <v>108</v>
      </c>
      <c r="AY105" s="35" t="s">
        <v>112</v>
      </c>
      <c r="AZ105" s="30" t="s">
        <v>113</v>
      </c>
      <c r="BB105" s="33">
        <f>AV105+AW105</f>
        <v>0</v>
      </c>
      <c r="BC105" s="33">
        <f>G105/(100-BD105)*100</f>
        <v>0</v>
      </c>
      <c r="BD105" s="33">
        <v>0</v>
      </c>
      <c r="BE105" s="33">
        <f>L105</f>
        <v>0</v>
      </c>
      <c r="BG105" s="23">
        <f>F105*AN105</f>
        <v>0</v>
      </c>
      <c r="BH105" s="23">
        <f>F105*AO105</f>
        <v>0</v>
      </c>
      <c r="BI105" s="23">
        <f>F105*G105</f>
        <v>0</v>
      </c>
      <c r="BJ105" s="23" t="s">
        <v>118</v>
      </c>
      <c r="BK105" s="33" t="s">
        <v>33</v>
      </c>
    </row>
    <row r="106" spans="1:63" s="81" customFormat="1" ht="12.9" x14ac:dyDescent="0.3">
      <c r="A106" s="4"/>
      <c r="B106" s="13"/>
      <c r="C106" s="13"/>
      <c r="D106" s="19" t="s">
        <v>217</v>
      </c>
      <c r="F106" s="24"/>
      <c r="G106" s="83"/>
      <c r="H106" s="83"/>
      <c r="I106" s="83"/>
      <c r="J106" s="83"/>
      <c r="K106" s="83"/>
      <c r="L106" s="83"/>
      <c r="M106" s="5"/>
      <c r="Y106" s="33"/>
      <c r="AA106" s="33"/>
      <c r="AB106" s="33"/>
      <c r="AC106" s="33"/>
      <c r="AD106" s="33"/>
      <c r="AE106" s="33"/>
      <c r="AF106" s="33"/>
      <c r="AG106" s="33"/>
      <c r="AH106" s="30"/>
      <c r="AI106" s="83"/>
      <c r="AJ106" s="83"/>
      <c r="AK106" s="83"/>
      <c r="AM106" s="33"/>
      <c r="AN106" s="33"/>
      <c r="AO106" s="33"/>
      <c r="AP106" s="34"/>
      <c r="AU106" s="33"/>
      <c r="AV106" s="33"/>
      <c r="AW106" s="33"/>
      <c r="AX106" s="35"/>
      <c r="AY106" s="35"/>
      <c r="AZ106" s="30"/>
      <c r="BB106" s="33"/>
      <c r="BC106" s="33"/>
      <c r="BD106" s="33"/>
      <c r="BE106" s="33"/>
      <c r="BG106" s="83"/>
      <c r="BH106" s="83"/>
      <c r="BI106" s="83"/>
      <c r="BJ106" s="83"/>
      <c r="BK106" s="33"/>
    </row>
    <row r="107" spans="1:63" s="81" customFormat="1" x14ac:dyDescent="0.3">
      <c r="A107" s="4" t="s">
        <v>304</v>
      </c>
      <c r="B107" s="130"/>
      <c r="C107" s="130" t="s">
        <v>201</v>
      </c>
      <c r="D107" s="143" t="s">
        <v>202</v>
      </c>
      <c r="E107" s="130" t="s">
        <v>75</v>
      </c>
      <c r="F107" s="142">
        <f>L41+L43+L46+L39</f>
        <v>71.7</v>
      </c>
      <c r="G107" s="264"/>
      <c r="H107" s="142">
        <f>F107*AN107</f>
        <v>0</v>
      </c>
      <c r="I107" s="142">
        <f>F107*G107</f>
        <v>0</v>
      </c>
      <c r="J107" s="142">
        <f>F107*G107</f>
        <v>0</v>
      </c>
      <c r="K107" s="142">
        <v>0</v>
      </c>
      <c r="L107" s="148">
        <f>F107*K107</f>
        <v>0</v>
      </c>
      <c r="M107" s="142"/>
      <c r="N107" s="144"/>
      <c r="O107" s="97"/>
      <c r="Y107" s="33"/>
      <c r="AA107" s="33"/>
      <c r="AB107" s="33"/>
      <c r="AC107" s="33"/>
      <c r="AD107" s="33"/>
      <c r="AE107" s="33"/>
      <c r="AF107" s="33"/>
      <c r="AG107" s="33"/>
      <c r="AH107" s="30"/>
      <c r="AI107" s="83"/>
      <c r="AJ107" s="83"/>
      <c r="AK107" s="83"/>
      <c r="AM107" s="33"/>
      <c r="AN107" s="33"/>
      <c r="AO107" s="33"/>
      <c r="AP107" s="34"/>
      <c r="AU107" s="33"/>
      <c r="AV107" s="33"/>
      <c r="AW107" s="33"/>
      <c r="AX107" s="35"/>
      <c r="AY107" s="35"/>
      <c r="AZ107" s="30"/>
      <c r="BB107" s="33"/>
      <c r="BC107" s="33"/>
      <c r="BD107" s="33"/>
      <c r="BE107" s="33"/>
      <c r="BG107" s="83"/>
      <c r="BH107" s="83"/>
      <c r="BI107" s="83"/>
      <c r="BJ107" s="83"/>
      <c r="BK107" s="33"/>
    </row>
    <row r="108" spans="1:63" s="81" customFormat="1" ht="12.9" x14ac:dyDescent="0.3">
      <c r="A108" s="4"/>
      <c r="B108" s="13"/>
      <c r="C108" s="13"/>
      <c r="D108" s="170" t="s">
        <v>251</v>
      </c>
      <c r="E108" s="13"/>
      <c r="F108" s="83"/>
      <c r="G108" s="83"/>
      <c r="H108" s="83"/>
      <c r="I108" s="83"/>
      <c r="J108" s="83"/>
      <c r="K108" s="83"/>
      <c r="L108" s="96"/>
      <c r="M108" s="72"/>
      <c r="Y108" s="33"/>
      <c r="AA108" s="33"/>
      <c r="AB108" s="33"/>
      <c r="AC108" s="33"/>
      <c r="AD108" s="33"/>
      <c r="AE108" s="33"/>
      <c r="AF108" s="33"/>
      <c r="AG108" s="33"/>
      <c r="AH108" s="30"/>
      <c r="AI108" s="83"/>
      <c r="AJ108" s="83"/>
      <c r="AK108" s="83"/>
      <c r="AM108" s="33"/>
      <c r="AN108" s="33"/>
      <c r="AO108" s="33"/>
      <c r="AP108" s="34"/>
      <c r="AU108" s="33"/>
      <c r="AV108" s="33"/>
      <c r="AW108" s="33"/>
      <c r="AX108" s="35"/>
      <c r="AY108" s="35"/>
      <c r="AZ108" s="30"/>
      <c r="BB108" s="33"/>
      <c r="BC108" s="33"/>
      <c r="BD108" s="33"/>
      <c r="BE108" s="33"/>
      <c r="BG108" s="83"/>
      <c r="BH108" s="83"/>
      <c r="BI108" s="83"/>
      <c r="BJ108" s="83"/>
      <c r="BK108" s="33"/>
    </row>
    <row r="109" spans="1:63" s="81" customFormat="1" x14ac:dyDescent="0.3">
      <c r="A109" s="4"/>
      <c r="B109" s="13"/>
      <c r="C109" s="13"/>
      <c r="D109" s="13"/>
      <c r="E109" s="13"/>
      <c r="F109" s="83"/>
      <c r="G109" s="83"/>
      <c r="H109" s="83"/>
      <c r="I109" s="83"/>
      <c r="J109" s="83"/>
      <c r="K109" s="83"/>
      <c r="L109" s="83"/>
      <c r="M109" s="5"/>
      <c r="Y109" s="33"/>
      <c r="AA109" s="33"/>
      <c r="AB109" s="33"/>
      <c r="AC109" s="33"/>
      <c r="AD109" s="33"/>
      <c r="AE109" s="33"/>
      <c r="AF109" s="33"/>
      <c r="AG109" s="33"/>
      <c r="AH109" s="30"/>
      <c r="AI109" s="83"/>
      <c r="AJ109" s="83"/>
      <c r="AK109" s="83"/>
      <c r="AM109" s="33"/>
      <c r="AN109" s="33"/>
      <c r="AO109" s="33"/>
      <c r="AP109" s="34"/>
      <c r="AU109" s="33"/>
      <c r="AV109" s="33"/>
      <c r="AW109" s="33"/>
      <c r="AX109" s="35"/>
      <c r="AY109" s="35"/>
      <c r="AZ109" s="30"/>
      <c r="BB109" s="33"/>
      <c r="BC109" s="33"/>
      <c r="BD109" s="33"/>
      <c r="BE109" s="33"/>
      <c r="BG109" s="83"/>
      <c r="BH109" s="83"/>
      <c r="BI109" s="83"/>
      <c r="BJ109" s="83"/>
      <c r="BK109" s="33"/>
    </row>
    <row r="110" spans="1:63" s="81" customFormat="1" x14ac:dyDescent="0.3">
      <c r="A110" s="4"/>
      <c r="B110" s="13"/>
      <c r="C110" s="13"/>
      <c r="D110" s="13"/>
      <c r="E110" s="13"/>
      <c r="F110" s="83"/>
      <c r="G110" s="83"/>
      <c r="H110" s="83"/>
      <c r="I110" s="83"/>
      <c r="J110" s="83"/>
      <c r="K110" s="83"/>
      <c r="L110" s="83"/>
      <c r="M110" s="5"/>
      <c r="Y110" s="33"/>
      <c r="AA110" s="33"/>
      <c r="AB110" s="33"/>
      <c r="AC110" s="33"/>
      <c r="AD110" s="33"/>
      <c r="AE110" s="33"/>
      <c r="AF110" s="33"/>
      <c r="AG110" s="33"/>
      <c r="AH110" s="30"/>
      <c r="AI110" s="83"/>
      <c r="AJ110" s="83"/>
      <c r="AK110" s="83"/>
      <c r="AM110" s="33"/>
      <c r="AN110" s="33"/>
      <c r="AO110" s="33"/>
      <c r="AP110" s="34"/>
      <c r="AU110" s="33"/>
      <c r="AV110" s="33"/>
      <c r="AW110" s="33"/>
      <c r="AX110" s="35"/>
      <c r="AY110" s="35"/>
      <c r="AZ110" s="30"/>
      <c r="BB110" s="33"/>
      <c r="BC110" s="33"/>
      <c r="BD110" s="33"/>
      <c r="BE110" s="33"/>
      <c r="BG110" s="83"/>
      <c r="BH110" s="83"/>
      <c r="BI110" s="83"/>
      <c r="BJ110" s="83"/>
      <c r="BK110" s="33"/>
    </row>
    <row r="111" spans="1:63" ht="12.9" x14ac:dyDescent="0.3">
      <c r="A111" s="5"/>
      <c r="D111" s="19"/>
      <c r="F111" s="24"/>
      <c r="M111" s="5"/>
    </row>
    <row r="112" spans="1:63" x14ac:dyDescent="0.3">
      <c r="A112" s="8"/>
      <c r="B112" s="8"/>
      <c r="C112" s="8"/>
      <c r="D112" s="8"/>
      <c r="E112" s="8"/>
      <c r="F112" s="8"/>
      <c r="G112" s="8"/>
      <c r="H112" s="212" t="s">
        <v>85</v>
      </c>
      <c r="I112" s="213"/>
      <c r="J112" s="39">
        <f>ROUND(J12+J27+J30+J49+J83+J100+J103+J88+J73+J57,0)</f>
        <v>0</v>
      </c>
      <c r="K112" s="8"/>
      <c r="L112" s="8"/>
    </row>
    <row r="113" spans="1:12" ht="11.25" customHeight="1" x14ac:dyDescent="0.3">
      <c r="A113" s="9" t="s">
        <v>18</v>
      </c>
    </row>
    <row r="114" spans="1:12" x14ac:dyDescent="0.3">
      <c r="A114" s="198" t="s">
        <v>19</v>
      </c>
      <c r="B114" s="193"/>
      <c r="C114" s="193"/>
      <c r="D114" s="193"/>
      <c r="E114" s="193"/>
      <c r="F114" s="193"/>
      <c r="G114" s="193"/>
      <c r="H114" s="193"/>
      <c r="I114" s="193"/>
      <c r="J114" s="193"/>
      <c r="K114" s="193"/>
      <c r="L114" s="193"/>
    </row>
  </sheetData>
  <sheetProtection algorithmName="SHA-512" hashValue="33Y8SFJEvzJc8rUWwf5Nb0XFG9Q7WijNDfBz6XDaOcEjQpTyQZb1ed4fCWeL0XJqibttaVX/mGWbXXTx1oUnRg==" saltValue="K9MO5b58dSyBggWaCcVAyw==" spinCount="100000" sheet="1" objects="1" scenarios="1"/>
  <mergeCells count="50">
    <mergeCell ref="D47:L47"/>
    <mergeCell ref="D59:L59"/>
    <mergeCell ref="D78:L78"/>
    <mergeCell ref="D79:L79"/>
    <mergeCell ref="D48:L48"/>
    <mergeCell ref="D51:L51"/>
    <mergeCell ref="D61:L61"/>
    <mergeCell ref="D63:L63"/>
    <mergeCell ref="H112:I112"/>
    <mergeCell ref="A114:L114"/>
    <mergeCell ref="D99:L99"/>
    <mergeCell ref="D88:E88"/>
    <mergeCell ref="D73:E73"/>
    <mergeCell ref="D22:L22"/>
    <mergeCell ref="D24:L24"/>
    <mergeCell ref="D26:L26"/>
    <mergeCell ref="D29:L29"/>
    <mergeCell ref="D32:L32"/>
    <mergeCell ref="A8:C9"/>
    <mergeCell ref="D8:D9"/>
    <mergeCell ref="E8:F9"/>
    <mergeCell ref="G8:G9"/>
    <mergeCell ref="H8:H9"/>
    <mergeCell ref="D6:D7"/>
    <mergeCell ref="E6:F7"/>
    <mergeCell ref="G6:G7"/>
    <mergeCell ref="H6:H7"/>
    <mergeCell ref="D20:L20"/>
    <mergeCell ref="I8:L9"/>
    <mergeCell ref="H10:J10"/>
    <mergeCell ref="K10:L10"/>
    <mergeCell ref="D14:L14"/>
    <mergeCell ref="D16:L16"/>
    <mergeCell ref="D18:L18"/>
    <mergeCell ref="D34:L34"/>
    <mergeCell ref="A1:L1"/>
    <mergeCell ref="A2:C3"/>
    <mergeCell ref="D2:D3"/>
    <mergeCell ref="E2:F3"/>
    <mergeCell ref="G2:G3"/>
    <mergeCell ref="H2:H3"/>
    <mergeCell ref="I2:L3"/>
    <mergeCell ref="I6:L7"/>
    <mergeCell ref="A4:C5"/>
    <mergeCell ref="D4:D5"/>
    <mergeCell ref="E4:F5"/>
    <mergeCell ref="G4:G5"/>
    <mergeCell ref="H4:H5"/>
    <mergeCell ref="I4:L5"/>
    <mergeCell ref="A6:C7"/>
  </mergeCells>
  <pageMargins left="0.39400000000000002" right="0.39400000000000002" top="0.59099999999999997" bottom="0.59099999999999997" header="0.5" footer="0.5"/>
  <pageSetup paperSize="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workbookViewId="0">
      <pane ySplit="10" topLeftCell="A11" activePane="bottomLeft" state="frozenSplit"/>
      <selection pane="bottomLeft" activeCell="C19" sqref="C19"/>
    </sheetView>
  </sheetViews>
  <sheetFormatPr defaultColWidth="11.53515625" defaultRowHeight="12.45" x14ac:dyDescent="0.3"/>
  <cols>
    <col min="1" max="2" width="16.53515625" customWidth="1"/>
    <col min="3" max="3" width="68.53515625" customWidth="1"/>
    <col min="4" max="4" width="22.07421875" customWidth="1"/>
    <col min="5" max="5" width="21" customWidth="1"/>
    <col min="6" max="6" width="20.84375" customWidth="1"/>
    <col min="7" max="7" width="19.69140625" customWidth="1"/>
    <col min="8" max="9" width="0" hidden="1" customWidth="1"/>
  </cols>
  <sheetData>
    <row r="1" spans="1:10" ht="72.900000000000006" customHeight="1" x14ac:dyDescent="0.3">
      <c r="A1" s="188" t="s">
        <v>120</v>
      </c>
      <c r="B1" s="189"/>
      <c r="C1" s="189"/>
      <c r="D1" s="189"/>
      <c r="E1" s="189"/>
      <c r="F1" s="189"/>
      <c r="G1" s="189"/>
    </row>
    <row r="2" spans="1:10" x14ac:dyDescent="0.3">
      <c r="A2" s="190" t="s">
        <v>1</v>
      </c>
      <c r="B2" s="223" t="str">
        <f>'Stavební rozpočet'!D2</f>
        <v>Oprava povrchu komunikace nám. Svobody, Tolstého</v>
      </c>
      <c r="C2" s="213"/>
      <c r="D2" s="197" t="s">
        <v>79</v>
      </c>
      <c r="E2" s="197" t="str">
        <f>'Stavební rozpočet'!I2</f>
        <v>Statutární město Jihlava</v>
      </c>
      <c r="F2" s="191"/>
      <c r="G2" s="224"/>
      <c r="H2" s="5"/>
    </row>
    <row r="3" spans="1:10" x14ac:dyDescent="0.3">
      <c r="A3" s="192"/>
      <c r="B3" s="195"/>
      <c r="C3" s="195"/>
      <c r="D3" s="193"/>
      <c r="E3" s="193"/>
      <c r="F3" s="193"/>
      <c r="G3" s="202"/>
      <c r="H3" s="5"/>
    </row>
    <row r="4" spans="1:10" x14ac:dyDescent="0.3">
      <c r="A4" s="199" t="s">
        <v>2</v>
      </c>
      <c r="B4" s="198" t="str">
        <f>'Stavební rozpočet'!D4</f>
        <v xml:space="preserve"> </v>
      </c>
      <c r="C4" s="193"/>
      <c r="D4" s="198" t="s">
        <v>80</v>
      </c>
      <c r="E4" s="198" t="str">
        <f>'Stavební rozpočet'!I4</f>
        <v> </v>
      </c>
      <c r="F4" s="193"/>
      <c r="G4" s="202"/>
      <c r="H4" s="5"/>
    </row>
    <row r="5" spans="1:10" x14ac:dyDescent="0.3">
      <c r="A5" s="192"/>
      <c r="B5" s="193"/>
      <c r="C5" s="193"/>
      <c r="D5" s="193"/>
      <c r="E5" s="193"/>
      <c r="F5" s="193"/>
      <c r="G5" s="202"/>
      <c r="H5" s="5"/>
    </row>
    <row r="6" spans="1:10" x14ac:dyDescent="0.3">
      <c r="A6" s="199" t="s">
        <v>3</v>
      </c>
      <c r="B6" s="198" t="str">
        <f>'Stavební rozpočet'!D6</f>
        <v>Jihlava</v>
      </c>
      <c r="C6" s="193"/>
      <c r="D6" s="198" t="s">
        <v>81</v>
      </c>
      <c r="E6" s="198" t="str">
        <f>'Stavební rozpočet'!I6</f>
        <v>dle výběrového řízení</v>
      </c>
      <c r="F6" s="193"/>
      <c r="G6" s="202"/>
      <c r="H6" s="5"/>
    </row>
    <row r="7" spans="1:10" x14ac:dyDescent="0.3">
      <c r="A7" s="192"/>
      <c r="B7" s="193"/>
      <c r="C7" s="193"/>
      <c r="D7" s="193"/>
      <c r="E7" s="193"/>
      <c r="F7" s="193"/>
      <c r="G7" s="202"/>
      <c r="H7" s="5"/>
    </row>
    <row r="8" spans="1:10" x14ac:dyDescent="0.3">
      <c r="A8" s="199" t="s">
        <v>82</v>
      </c>
      <c r="B8" s="198" t="str">
        <f>'Stavební rozpočet'!I8</f>
        <v>Ing. Bc. Karel Trojan</v>
      </c>
      <c r="C8" s="193"/>
      <c r="D8" s="200" t="s">
        <v>70</v>
      </c>
      <c r="E8" s="198" t="str">
        <f>'Stavební rozpočet'!G8</f>
        <v>06.03.2025</v>
      </c>
      <c r="F8" s="193"/>
      <c r="G8" s="202"/>
      <c r="H8" s="5"/>
    </row>
    <row r="9" spans="1:10" ht="12.9" thickBot="1" x14ac:dyDescent="0.35">
      <c r="A9" s="211"/>
      <c r="B9" s="206"/>
      <c r="C9" s="206"/>
      <c r="D9" s="206"/>
      <c r="E9" s="206"/>
      <c r="F9" s="206"/>
      <c r="G9" s="225"/>
      <c r="H9" s="5"/>
    </row>
    <row r="10" spans="1:10" ht="12.9" thickBot="1" x14ac:dyDescent="0.35">
      <c r="A10" s="40" t="s">
        <v>20</v>
      </c>
      <c r="B10" s="44" t="s">
        <v>21</v>
      </c>
      <c r="C10" s="47" t="s">
        <v>121</v>
      </c>
      <c r="D10" s="48" t="s">
        <v>122</v>
      </c>
      <c r="E10" s="48" t="s">
        <v>123</v>
      </c>
      <c r="F10" s="48" t="s">
        <v>124</v>
      </c>
      <c r="G10" s="49" t="s">
        <v>125</v>
      </c>
      <c r="H10" s="32"/>
    </row>
    <row r="11" spans="1:10" x14ac:dyDescent="0.3">
      <c r="A11" s="41"/>
      <c r="B11" s="45" t="s">
        <v>22</v>
      </c>
      <c r="C11" s="45" t="s">
        <v>39</v>
      </c>
      <c r="D11" s="51">
        <f>'Stavební rozpočet'!H12</f>
        <v>0</v>
      </c>
      <c r="E11" s="51">
        <f>'Stavební rozpočet'!I12</f>
        <v>0</v>
      </c>
      <c r="F11" s="51">
        <f>'Stavební rozpočet'!J12</f>
        <v>0</v>
      </c>
      <c r="G11" s="53">
        <f>'Stavební rozpočet'!L12</f>
        <v>0</v>
      </c>
      <c r="H11" s="50" t="s">
        <v>126</v>
      </c>
      <c r="I11" s="33">
        <f t="shared" ref="I11:I20" si="0">IF(H11="F",0,F11)</f>
        <v>0</v>
      </c>
      <c r="J11" s="85">
        <f>D11+E11</f>
        <v>0</v>
      </c>
    </row>
    <row r="12" spans="1:10" x14ac:dyDescent="0.3">
      <c r="A12" s="42"/>
      <c r="B12" s="20" t="s">
        <v>24</v>
      </c>
      <c r="C12" s="20" t="s">
        <v>53</v>
      </c>
      <c r="D12" s="33">
        <f>'Stavební rozpočet'!H27</f>
        <v>0</v>
      </c>
      <c r="E12" s="33">
        <f>'Stavební rozpočet'!I27</f>
        <v>0</v>
      </c>
      <c r="F12" s="33">
        <f>'Stavební rozpočet'!J27</f>
        <v>0</v>
      </c>
      <c r="G12" s="54">
        <f>'Stavební rozpočet'!L27</f>
        <v>0</v>
      </c>
      <c r="H12" s="50" t="s">
        <v>126</v>
      </c>
      <c r="I12" s="33">
        <f t="shared" si="0"/>
        <v>0</v>
      </c>
      <c r="J12" s="85">
        <f t="shared" ref="J12:J13" si="1">D12+E12</f>
        <v>0</v>
      </c>
    </row>
    <row r="13" spans="1:10" x14ac:dyDescent="0.3">
      <c r="A13" s="42"/>
      <c r="B13" s="20" t="s">
        <v>17</v>
      </c>
      <c r="C13" s="20" t="s">
        <v>56</v>
      </c>
      <c r="D13" s="33">
        <f>'Stavební rozpočet'!H30</f>
        <v>0</v>
      </c>
      <c r="E13" s="33">
        <f>'Stavební rozpočet'!I30</f>
        <v>0</v>
      </c>
      <c r="F13" s="33">
        <f>'Stavební rozpočet'!J30</f>
        <v>0</v>
      </c>
      <c r="G13" s="54">
        <f>'Stavební rozpočet'!L30</f>
        <v>525.70000000000005</v>
      </c>
      <c r="H13" s="50" t="s">
        <v>126</v>
      </c>
      <c r="I13" s="33">
        <f t="shared" si="0"/>
        <v>0</v>
      </c>
      <c r="J13" s="85">
        <f t="shared" si="1"/>
        <v>0</v>
      </c>
    </row>
    <row r="14" spans="1:10" x14ac:dyDescent="0.3">
      <c r="A14" s="42"/>
      <c r="B14" s="20" t="s">
        <v>27</v>
      </c>
      <c r="C14" s="89" t="s">
        <v>57</v>
      </c>
      <c r="D14" s="33">
        <f>'Stavební rozpočet'!H49</f>
        <v>0</v>
      </c>
      <c r="E14" s="33">
        <f>'Stavební rozpočet'!I49</f>
        <v>0</v>
      </c>
      <c r="F14" s="33">
        <f>'Stavební rozpočet'!J49</f>
        <v>0</v>
      </c>
      <c r="G14" s="54">
        <f>'Stavební rozpočet'!L49</f>
        <v>580.2953</v>
      </c>
      <c r="H14" s="50" t="s">
        <v>126</v>
      </c>
      <c r="I14" s="33">
        <f t="shared" si="0"/>
        <v>0</v>
      </c>
      <c r="J14" s="85"/>
    </row>
    <row r="15" spans="1:10" s="81" customFormat="1" x14ac:dyDescent="0.3">
      <c r="A15" s="42"/>
      <c r="B15" s="120" t="s">
        <v>236</v>
      </c>
      <c r="C15" s="89" t="s">
        <v>237</v>
      </c>
      <c r="D15" s="33">
        <f>'Stavební rozpočet'!H57</f>
        <v>0</v>
      </c>
      <c r="E15" s="33">
        <f>'Stavební rozpočet'!I57</f>
        <v>0</v>
      </c>
      <c r="F15" s="33">
        <f>'Stavební rozpočet'!J57</f>
        <v>0</v>
      </c>
      <c r="G15" s="54">
        <f>'Stavební rozpočet'!L57</f>
        <v>111.78660000000002</v>
      </c>
      <c r="H15" s="50"/>
      <c r="I15" s="33"/>
      <c r="J15" s="85"/>
    </row>
    <row r="16" spans="1:10" s="81" customFormat="1" x14ac:dyDescent="0.3">
      <c r="A16" s="42"/>
      <c r="B16" s="93" t="s">
        <v>178</v>
      </c>
      <c r="C16" s="89" t="s">
        <v>179</v>
      </c>
      <c r="D16" s="33">
        <f>'Stavební rozpočet'!H83</f>
        <v>0</v>
      </c>
      <c r="E16" s="33">
        <f>'Stavební rozpočet'!I83</f>
        <v>0</v>
      </c>
      <c r="F16" s="33">
        <f>'Stavební rozpočet'!J83</f>
        <v>0</v>
      </c>
      <c r="G16" s="54">
        <f>'Stavební rozpočet'!L83</f>
        <v>14.651960000000001</v>
      </c>
      <c r="H16" s="50"/>
      <c r="I16" s="33"/>
      <c r="J16" s="85"/>
    </row>
    <row r="17" spans="1:10" x14ac:dyDescent="0.3">
      <c r="A17" s="42"/>
      <c r="B17" s="20" t="s">
        <v>29</v>
      </c>
      <c r="C17" s="20" t="s">
        <v>60</v>
      </c>
      <c r="D17" s="33">
        <f>'Stavební rozpočet'!H73</f>
        <v>0</v>
      </c>
      <c r="E17" s="33">
        <f>'Stavební rozpočet'!I73</f>
        <v>0</v>
      </c>
      <c r="F17" s="33">
        <f>'Stavební rozpočet'!J73</f>
        <v>0</v>
      </c>
      <c r="G17" s="54">
        <f>'Stavební rozpočet'!L73</f>
        <v>10.459999999999999</v>
      </c>
      <c r="H17" s="50" t="s">
        <v>126</v>
      </c>
      <c r="I17" s="33">
        <f t="shared" si="0"/>
        <v>0</v>
      </c>
      <c r="J17" s="85"/>
    </row>
    <row r="18" spans="1:10" x14ac:dyDescent="0.3">
      <c r="A18" s="42"/>
      <c r="B18" s="20" t="s">
        <v>31</v>
      </c>
      <c r="C18" s="20" t="s">
        <v>62</v>
      </c>
      <c r="D18" s="33">
        <f>'Stavební rozpočet'!H100</f>
        <v>0</v>
      </c>
      <c r="E18" s="33">
        <f>'Stavební rozpočet'!I100</f>
        <v>0</v>
      </c>
      <c r="F18" s="33">
        <f>'Stavební rozpočet'!J100</f>
        <v>0</v>
      </c>
      <c r="G18" s="54">
        <f>'Stavební rozpočet'!L100</f>
        <v>0</v>
      </c>
      <c r="H18" s="50" t="s">
        <v>126</v>
      </c>
      <c r="I18" s="33">
        <f t="shared" si="0"/>
        <v>0</v>
      </c>
      <c r="J18" s="85"/>
    </row>
    <row r="19" spans="1:10" s="81" customFormat="1" x14ac:dyDescent="0.3">
      <c r="A19" s="42"/>
      <c r="B19" s="120"/>
      <c r="C19" s="120" t="s">
        <v>132</v>
      </c>
      <c r="D19" s="33">
        <f>'Stavební rozpočet'!H88</f>
        <v>0</v>
      </c>
      <c r="E19" s="33">
        <f>'Stavební rozpočet'!I88</f>
        <v>0</v>
      </c>
      <c r="F19" s="33">
        <f>'Stavební rozpočet'!J88</f>
        <v>0</v>
      </c>
      <c r="G19" s="54">
        <f>'Stavební rozpočet'!L88</f>
        <v>4.5429460000000006</v>
      </c>
      <c r="H19" s="50"/>
      <c r="I19" s="33"/>
      <c r="J19" s="85"/>
    </row>
    <row r="20" spans="1:10" x14ac:dyDescent="0.3">
      <c r="A20" s="43"/>
      <c r="B20" s="46" t="s">
        <v>33</v>
      </c>
      <c r="C20" s="46" t="s">
        <v>64</v>
      </c>
      <c r="D20" s="52">
        <f>'Stavební rozpočet'!H103</f>
        <v>0</v>
      </c>
      <c r="E20" s="52">
        <f>'Stavební rozpočet'!I103</f>
        <v>0</v>
      </c>
      <c r="F20" s="52">
        <f>'Stavební rozpočet'!J103</f>
        <v>0</v>
      </c>
      <c r="G20" s="55">
        <f>'Stavební rozpočet'!L103</f>
        <v>0</v>
      </c>
      <c r="H20" s="50" t="s">
        <v>126</v>
      </c>
      <c r="I20" s="33">
        <f t="shared" si="0"/>
        <v>0</v>
      </c>
      <c r="J20" s="85"/>
    </row>
    <row r="21" spans="1:10" x14ac:dyDescent="0.3">
      <c r="A21" s="84" t="s">
        <v>85</v>
      </c>
      <c r="B21" s="8"/>
      <c r="C21" s="8"/>
      <c r="D21" s="91">
        <f>SUM(D11:D20)</f>
        <v>0</v>
      </c>
      <c r="E21" s="91">
        <f>SUM(E11:E20)</f>
        <v>0</v>
      </c>
      <c r="F21" s="91">
        <f>SUM(F11:F20)</f>
        <v>0</v>
      </c>
      <c r="G21" s="8"/>
    </row>
    <row r="22" spans="1:10" x14ac:dyDescent="0.3">
      <c r="E22" s="85"/>
    </row>
    <row r="23" spans="1:10" x14ac:dyDescent="0.3">
      <c r="D23" s="85"/>
      <c r="E23" s="85"/>
    </row>
    <row r="24" spans="1:10" x14ac:dyDescent="0.3">
      <c r="E24" s="85"/>
    </row>
    <row r="25" spans="1:10" x14ac:dyDescent="0.3">
      <c r="E25" s="85"/>
    </row>
    <row r="26" spans="1:10" x14ac:dyDescent="0.3">
      <c r="E26" s="85"/>
    </row>
    <row r="27" spans="1:10" x14ac:dyDescent="0.3">
      <c r="E27" s="85"/>
    </row>
  </sheetData>
  <sheetProtection algorithmName="SHA-512" hashValue="4HRGA8ATcu3wzdfuQNylghKP20z1xLchmYY6+0KpLJt0X/Lqg5geNp0bZ5KYQ1LrWwXZYM64CwlKennxZAqGEQ==" saltValue="mr+KYhgn05bucAq0GoDIlA==" spinCount="100000" sheet="1" objects="1" scenarios="1"/>
  <mergeCells count="17">
    <mergeCell ref="A6:A7"/>
    <mergeCell ref="B6:C7"/>
    <mergeCell ref="D6:D7"/>
    <mergeCell ref="E6:G7"/>
    <mergeCell ref="A8:A9"/>
    <mergeCell ref="B8:C9"/>
    <mergeCell ref="D8:D9"/>
    <mergeCell ref="E8:G9"/>
    <mergeCell ref="A4:A5"/>
    <mergeCell ref="B4:C5"/>
    <mergeCell ref="D4:D5"/>
    <mergeCell ref="E4:G5"/>
    <mergeCell ref="A1:G1"/>
    <mergeCell ref="A2:A3"/>
    <mergeCell ref="B2:C3"/>
    <mergeCell ref="D2:D3"/>
    <mergeCell ref="E2:G3"/>
  </mergeCells>
  <pageMargins left="0.39400000000000002" right="0.39400000000000002" top="0.59099999999999997" bottom="0.59099999999999997" header="0.5" footer="0.5"/>
  <pageSetup paperSize="9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workbookViewId="0">
      <selection activeCell="C41" sqref="C41"/>
    </sheetView>
  </sheetViews>
  <sheetFormatPr defaultColWidth="11.53515625" defaultRowHeight="12.45" x14ac:dyDescent="0.3"/>
  <cols>
    <col min="1" max="1" width="9.07421875" customWidth="1"/>
    <col min="2" max="2" width="12.84375" customWidth="1"/>
    <col min="3" max="3" width="22.84375" customWidth="1"/>
    <col min="4" max="4" width="10" customWidth="1"/>
    <col min="5" max="5" width="14" customWidth="1"/>
    <col min="6" max="6" width="22.84375" customWidth="1"/>
    <col min="7" max="7" width="9.07421875" customWidth="1"/>
    <col min="8" max="8" width="12.84375" customWidth="1"/>
    <col min="9" max="9" width="22.84375" customWidth="1"/>
  </cols>
  <sheetData>
    <row r="1" spans="1:10" ht="72.900000000000006" customHeight="1" x14ac:dyDescent="0.3">
      <c r="A1" s="69"/>
      <c r="B1" s="15"/>
      <c r="C1" s="226" t="s">
        <v>142</v>
      </c>
      <c r="D1" s="189"/>
      <c r="E1" s="189"/>
      <c r="F1" s="189"/>
      <c r="G1" s="189"/>
      <c r="H1" s="189"/>
      <c r="I1" s="189"/>
    </row>
    <row r="2" spans="1:10" x14ac:dyDescent="0.3">
      <c r="A2" s="190" t="s">
        <v>1</v>
      </c>
      <c r="B2" s="191"/>
      <c r="C2" s="227" t="str">
        <f>'Stavební rozpočet'!D2</f>
        <v>Oprava povrchu komunikace nám. Svobody, Tolstého</v>
      </c>
      <c r="D2" s="228"/>
      <c r="E2" s="197" t="s">
        <v>79</v>
      </c>
      <c r="F2" s="197" t="str">
        <f>'Stavební rozpočet'!I2</f>
        <v>Statutární město Jihlava</v>
      </c>
      <c r="G2" s="191"/>
      <c r="H2" s="197" t="s">
        <v>167</v>
      </c>
      <c r="I2" s="230" t="s">
        <v>171</v>
      </c>
      <c r="J2" s="5"/>
    </row>
    <row r="3" spans="1:10" x14ac:dyDescent="0.3">
      <c r="A3" s="192"/>
      <c r="B3" s="193"/>
      <c r="C3" s="229"/>
      <c r="D3" s="229"/>
      <c r="E3" s="193"/>
      <c r="F3" s="193"/>
      <c r="G3" s="193"/>
      <c r="H3" s="193"/>
      <c r="I3" s="202"/>
      <c r="J3" s="5"/>
    </row>
    <row r="4" spans="1:10" x14ac:dyDescent="0.3">
      <c r="A4" s="199" t="s">
        <v>2</v>
      </c>
      <c r="B4" s="193"/>
      <c r="C4" s="198" t="str">
        <f>'Stavební rozpočet'!D4</f>
        <v xml:space="preserve"> </v>
      </c>
      <c r="D4" s="193"/>
      <c r="E4" s="198" t="s">
        <v>80</v>
      </c>
      <c r="F4" s="198" t="str">
        <f>'Stavební rozpočet'!I4</f>
        <v> </v>
      </c>
      <c r="G4" s="193"/>
      <c r="H4" s="198" t="s">
        <v>167</v>
      </c>
      <c r="I4" s="201"/>
      <c r="J4" s="5"/>
    </row>
    <row r="5" spans="1:10" x14ac:dyDescent="0.3">
      <c r="A5" s="192"/>
      <c r="B5" s="193"/>
      <c r="C5" s="193"/>
      <c r="D5" s="193"/>
      <c r="E5" s="193"/>
      <c r="F5" s="193"/>
      <c r="G5" s="193"/>
      <c r="H5" s="193"/>
      <c r="I5" s="202"/>
      <c r="J5" s="5"/>
    </row>
    <row r="6" spans="1:10" x14ac:dyDescent="0.3">
      <c r="A6" s="199" t="s">
        <v>3</v>
      </c>
      <c r="B6" s="193"/>
      <c r="C6" s="198" t="str">
        <f>'Stavební rozpočet'!D6</f>
        <v>Jihlava</v>
      </c>
      <c r="D6" s="193"/>
      <c r="E6" s="198" t="s">
        <v>81</v>
      </c>
      <c r="F6" s="198" t="str">
        <f>'Stavební rozpočet'!I6</f>
        <v>dle výběrového řízení</v>
      </c>
      <c r="G6" s="193"/>
      <c r="H6" s="198" t="s">
        <v>167</v>
      </c>
      <c r="I6" s="201"/>
      <c r="J6" s="5"/>
    </row>
    <row r="7" spans="1:10" x14ac:dyDescent="0.3">
      <c r="A7" s="192"/>
      <c r="B7" s="193"/>
      <c r="C7" s="193"/>
      <c r="D7" s="193"/>
      <c r="E7" s="193"/>
      <c r="F7" s="193"/>
      <c r="G7" s="193"/>
      <c r="H7" s="193"/>
      <c r="I7" s="202"/>
      <c r="J7" s="5"/>
    </row>
    <row r="8" spans="1:10" x14ac:dyDescent="0.3">
      <c r="A8" s="199" t="s">
        <v>68</v>
      </c>
      <c r="B8" s="193"/>
      <c r="C8" s="198" t="str">
        <f>'Stavební rozpočet'!G4</f>
        <v xml:space="preserve"> </v>
      </c>
      <c r="D8" s="193"/>
      <c r="E8" s="198" t="s">
        <v>69</v>
      </c>
      <c r="F8" s="198" t="str">
        <f>'Stavební rozpočet'!G6</f>
        <v xml:space="preserve"> </v>
      </c>
      <c r="G8" s="193"/>
      <c r="H8" s="200" t="s">
        <v>168</v>
      </c>
      <c r="I8" s="201" t="s">
        <v>304</v>
      </c>
      <c r="J8" s="5"/>
    </row>
    <row r="9" spans="1:10" x14ac:dyDescent="0.3">
      <c r="A9" s="192"/>
      <c r="B9" s="193"/>
      <c r="C9" s="193"/>
      <c r="D9" s="193"/>
      <c r="E9" s="193"/>
      <c r="F9" s="193"/>
      <c r="G9" s="193"/>
      <c r="H9" s="193"/>
      <c r="I9" s="202"/>
      <c r="J9" s="5"/>
    </row>
    <row r="10" spans="1:10" x14ac:dyDescent="0.3">
      <c r="A10" s="199" t="s">
        <v>4</v>
      </c>
      <c r="B10" s="193"/>
      <c r="C10" s="198" t="str">
        <f>'Stavební rozpočet'!D8</f>
        <v xml:space="preserve"> </v>
      </c>
      <c r="D10" s="193"/>
      <c r="E10" s="198" t="s">
        <v>82</v>
      </c>
      <c r="F10" s="198" t="str">
        <f>'Stavební rozpočet'!I8</f>
        <v>Ing. Bc. Karel Trojan</v>
      </c>
      <c r="G10" s="193"/>
      <c r="H10" s="200" t="s">
        <v>169</v>
      </c>
      <c r="I10" s="231" t="str">
        <f>'Stavební rozpočet'!G8</f>
        <v>06.03.2025</v>
      </c>
      <c r="J10" s="5"/>
    </row>
    <row r="11" spans="1:10" x14ac:dyDescent="0.3">
      <c r="A11" s="233"/>
      <c r="B11" s="234"/>
      <c r="C11" s="234"/>
      <c r="D11" s="234"/>
      <c r="E11" s="234"/>
      <c r="F11" s="234"/>
      <c r="G11" s="234"/>
      <c r="H11" s="234"/>
      <c r="I11" s="232"/>
      <c r="J11" s="5"/>
    </row>
    <row r="12" spans="1:10" ht="23.4" customHeight="1" x14ac:dyDescent="0.3">
      <c r="A12" s="235" t="s">
        <v>127</v>
      </c>
      <c r="B12" s="236"/>
      <c r="C12" s="236"/>
      <c r="D12" s="236"/>
      <c r="E12" s="236"/>
      <c r="F12" s="236"/>
      <c r="G12" s="236"/>
      <c r="H12" s="236"/>
      <c r="I12" s="236"/>
    </row>
    <row r="13" spans="1:10" ht="26.4" customHeight="1" x14ac:dyDescent="0.3">
      <c r="A13" s="56" t="s">
        <v>128</v>
      </c>
      <c r="B13" s="237" t="s">
        <v>140</v>
      </c>
      <c r="C13" s="238"/>
      <c r="D13" s="56" t="s">
        <v>143</v>
      </c>
      <c r="E13" s="237" t="s">
        <v>152</v>
      </c>
      <c r="F13" s="238"/>
      <c r="G13" s="56" t="s">
        <v>153</v>
      </c>
      <c r="H13" s="237" t="s">
        <v>170</v>
      </c>
      <c r="I13" s="238"/>
      <c r="J13" s="5"/>
    </row>
    <row r="14" spans="1:10" ht="15.15" customHeight="1" x14ac:dyDescent="0.3">
      <c r="A14" s="57" t="s">
        <v>129</v>
      </c>
      <c r="B14" s="61" t="s">
        <v>141</v>
      </c>
      <c r="C14" s="64">
        <f>'Stavební rozpočet - součet'!D21</f>
        <v>0</v>
      </c>
      <c r="D14" s="239" t="s">
        <v>144</v>
      </c>
      <c r="E14" s="240"/>
      <c r="F14" s="64">
        <v>0</v>
      </c>
      <c r="G14" s="239" t="s">
        <v>154</v>
      </c>
      <c r="H14" s="240"/>
      <c r="I14" s="64">
        <v>0</v>
      </c>
      <c r="J14" s="5"/>
    </row>
    <row r="15" spans="1:10" ht="15.15" customHeight="1" x14ac:dyDescent="0.3">
      <c r="A15" s="58"/>
      <c r="B15" s="61" t="s">
        <v>89</v>
      </c>
      <c r="C15" s="64">
        <f>'Stavební rozpočet - součet'!E21-'Stavební rozpočet - součet'!E20</f>
        <v>0</v>
      </c>
      <c r="D15" s="239" t="s">
        <v>145</v>
      </c>
      <c r="E15" s="240"/>
      <c r="F15" s="64">
        <v>0</v>
      </c>
      <c r="G15" s="239" t="s">
        <v>155</v>
      </c>
      <c r="H15" s="240"/>
      <c r="I15" s="64">
        <v>0</v>
      </c>
      <c r="J15" s="5"/>
    </row>
    <row r="16" spans="1:10" ht="15.15" customHeight="1" x14ac:dyDescent="0.3">
      <c r="A16" s="57" t="s">
        <v>130</v>
      </c>
      <c r="B16" s="61" t="s">
        <v>141</v>
      </c>
      <c r="C16" s="64">
        <f>SUM('Stavební rozpočet'!AD11:AD110)</f>
        <v>0</v>
      </c>
      <c r="D16" s="239" t="s">
        <v>146</v>
      </c>
      <c r="E16" s="240"/>
      <c r="F16" s="64">
        <v>0</v>
      </c>
      <c r="G16" s="239" t="s">
        <v>156</v>
      </c>
      <c r="H16" s="240"/>
      <c r="I16" s="64">
        <v>0</v>
      </c>
      <c r="J16" s="5"/>
    </row>
    <row r="17" spans="1:10" ht="15.15" customHeight="1" x14ac:dyDescent="0.3">
      <c r="A17" s="58"/>
      <c r="B17" s="61" t="s">
        <v>89</v>
      </c>
      <c r="C17" s="64">
        <f>SUM('Stavební rozpočet'!AD12:AD111)</f>
        <v>0</v>
      </c>
      <c r="D17" s="239"/>
      <c r="E17" s="240"/>
      <c r="F17" s="65"/>
      <c r="G17" s="239" t="s">
        <v>157</v>
      </c>
      <c r="H17" s="240"/>
      <c r="I17" s="64">
        <v>0</v>
      </c>
      <c r="J17" s="5"/>
    </row>
    <row r="18" spans="1:10" ht="15.15" customHeight="1" x14ac:dyDescent="0.3">
      <c r="A18" s="57" t="s">
        <v>131</v>
      </c>
      <c r="B18" s="61" t="s">
        <v>141</v>
      </c>
      <c r="C18" s="64">
        <f>SUM('Stavební rozpočet'!AE12:AE111)</f>
        <v>0</v>
      </c>
      <c r="D18" s="239"/>
      <c r="E18" s="240"/>
      <c r="F18" s="65"/>
      <c r="G18" s="239" t="s">
        <v>158</v>
      </c>
      <c r="H18" s="240"/>
      <c r="I18" s="64">
        <v>0</v>
      </c>
      <c r="J18" s="5"/>
    </row>
    <row r="19" spans="1:10" ht="15.15" customHeight="1" x14ac:dyDescent="0.3">
      <c r="A19" s="58"/>
      <c r="B19" s="61" t="s">
        <v>89</v>
      </c>
      <c r="C19" s="64">
        <f>SUM('Stavební rozpočet'!AF12:AF111)</f>
        <v>0</v>
      </c>
      <c r="D19" s="239"/>
      <c r="E19" s="240"/>
      <c r="F19" s="65"/>
      <c r="G19" s="239" t="s">
        <v>159</v>
      </c>
      <c r="H19" s="240"/>
      <c r="I19" s="64">
        <v>0</v>
      </c>
      <c r="J19" s="5"/>
    </row>
    <row r="20" spans="1:10" ht="15.15" customHeight="1" x14ac:dyDescent="0.3">
      <c r="A20" s="241" t="s">
        <v>132</v>
      </c>
      <c r="B20" s="242"/>
      <c r="C20" s="64">
        <f>SUM('Stavební rozpočet'!AF13:AF112)</f>
        <v>0</v>
      </c>
      <c r="D20" s="239"/>
      <c r="E20" s="240"/>
      <c r="F20" s="65"/>
      <c r="G20" s="239"/>
      <c r="H20" s="240"/>
      <c r="I20" s="65"/>
      <c r="J20" s="5"/>
    </row>
    <row r="21" spans="1:10" ht="15.15" customHeight="1" x14ac:dyDescent="0.3">
      <c r="A21" s="241" t="s">
        <v>133</v>
      </c>
      <c r="B21" s="242"/>
      <c r="C21" s="64">
        <f>'Stavební rozpočet - součet'!E20</f>
        <v>0</v>
      </c>
      <c r="D21" s="239"/>
      <c r="E21" s="240"/>
      <c r="F21" s="65"/>
      <c r="G21" s="239"/>
      <c r="H21" s="240"/>
      <c r="I21" s="65"/>
      <c r="J21" s="5"/>
    </row>
    <row r="22" spans="1:10" ht="16.649999999999999" customHeight="1" x14ac:dyDescent="0.3">
      <c r="A22" s="241" t="s">
        <v>134</v>
      </c>
      <c r="B22" s="242"/>
      <c r="C22" s="64">
        <f>ROUND(SUM(C14:C21),0)</f>
        <v>0</v>
      </c>
      <c r="D22" s="241" t="s">
        <v>147</v>
      </c>
      <c r="E22" s="242"/>
      <c r="F22" s="64">
        <f>SUM(F14:F21)</f>
        <v>0</v>
      </c>
      <c r="G22" s="241" t="s">
        <v>160</v>
      </c>
      <c r="H22" s="242"/>
      <c r="I22" s="64">
        <f>SUM(I14:I21)</f>
        <v>0</v>
      </c>
      <c r="J22" s="5"/>
    </row>
    <row r="23" spans="1:10" ht="15.15" customHeight="1" x14ac:dyDescent="0.3">
      <c r="A23" s="8"/>
      <c r="B23" s="8"/>
      <c r="C23" s="63"/>
      <c r="D23" s="241" t="s">
        <v>148</v>
      </c>
      <c r="E23" s="242"/>
      <c r="F23" s="66">
        <v>0</v>
      </c>
      <c r="G23" s="241" t="s">
        <v>161</v>
      </c>
      <c r="H23" s="242"/>
      <c r="I23" s="64">
        <v>0</v>
      </c>
      <c r="J23" s="5"/>
    </row>
    <row r="24" spans="1:10" ht="15.15" customHeight="1" x14ac:dyDescent="0.3">
      <c r="D24" s="8"/>
      <c r="E24" s="8"/>
      <c r="F24" s="67"/>
      <c r="G24" s="241" t="s">
        <v>162</v>
      </c>
      <c r="H24" s="242"/>
      <c r="I24" s="64">
        <v>0</v>
      </c>
      <c r="J24" s="5"/>
    </row>
    <row r="25" spans="1:10" ht="15.15" customHeight="1" x14ac:dyDescent="0.3">
      <c r="F25" s="31"/>
      <c r="G25" s="241" t="s">
        <v>163</v>
      </c>
      <c r="H25" s="242"/>
      <c r="I25" s="64">
        <v>0</v>
      </c>
      <c r="J25" s="5"/>
    </row>
    <row r="26" spans="1:10" x14ac:dyDescent="0.3">
      <c r="A26" s="15"/>
      <c r="B26" s="15"/>
      <c r="C26" s="15"/>
      <c r="G26" s="8"/>
      <c r="H26" s="8"/>
      <c r="I26" s="8"/>
    </row>
    <row r="27" spans="1:10" ht="15.15" customHeight="1" x14ac:dyDescent="0.3">
      <c r="A27" s="243" t="s">
        <v>135</v>
      </c>
      <c r="B27" s="244"/>
      <c r="C27" s="68">
        <f>ROUND(SUM('Stavební rozpočet'!AI12:AI111),0)</f>
        <v>0</v>
      </c>
      <c r="D27" s="7"/>
      <c r="E27" s="15"/>
      <c r="F27" s="15"/>
      <c r="G27" s="15"/>
      <c r="H27" s="15"/>
      <c r="I27" s="15"/>
    </row>
    <row r="28" spans="1:10" ht="15.15" customHeight="1" x14ac:dyDescent="0.3">
      <c r="A28" s="243" t="s">
        <v>136</v>
      </c>
      <c r="B28" s="244"/>
      <c r="C28" s="68">
        <f>ROUND(SUM('Stavební rozpočet'!AJ12:AJ111),0)</f>
        <v>0</v>
      </c>
      <c r="D28" s="243" t="s">
        <v>149</v>
      </c>
      <c r="E28" s="244"/>
      <c r="F28" s="68">
        <f>ROUND(C28*(15/100),2)</f>
        <v>0</v>
      </c>
      <c r="G28" s="243" t="s">
        <v>164</v>
      </c>
      <c r="H28" s="244"/>
      <c r="I28" s="68">
        <f>ROUND(SUM(C27:C29),0)</f>
        <v>0</v>
      </c>
      <c r="J28" s="5"/>
    </row>
    <row r="29" spans="1:10" ht="15.15" customHeight="1" x14ac:dyDescent="0.3">
      <c r="A29" s="243" t="s">
        <v>137</v>
      </c>
      <c r="B29" s="244"/>
      <c r="C29" s="68">
        <f>C22</f>
        <v>0</v>
      </c>
      <c r="D29" s="243" t="s">
        <v>150</v>
      </c>
      <c r="E29" s="244"/>
      <c r="F29" s="68">
        <f>ROUND(C29*(21/100),2)</f>
        <v>0</v>
      </c>
      <c r="G29" s="243" t="s">
        <v>165</v>
      </c>
      <c r="H29" s="244"/>
      <c r="I29" s="68">
        <f>ROUND(SUM(F28:F29)+I28,0)</f>
        <v>0</v>
      </c>
      <c r="J29" s="5"/>
    </row>
    <row r="30" spans="1:10" x14ac:dyDescent="0.3">
      <c r="A30" s="59"/>
      <c r="B30" s="59"/>
      <c r="C30" s="59"/>
      <c r="D30" s="59"/>
      <c r="E30" s="59"/>
      <c r="F30" s="59"/>
      <c r="G30" s="59"/>
      <c r="H30" s="59"/>
      <c r="I30" s="59"/>
    </row>
    <row r="31" spans="1:10" ht="14.4" customHeight="1" x14ac:dyDescent="0.3">
      <c r="A31" s="245" t="s">
        <v>138</v>
      </c>
      <c r="B31" s="246"/>
      <c r="C31" s="247"/>
      <c r="D31" s="245" t="s">
        <v>151</v>
      </c>
      <c r="E31" s="246"/>
      <c r="F31" s="247"/>
      <c r="G31" s="245" t="s">
        <v>166</v>
      </c>
      <c r="H31" s="246"/>
      <c r="I31" s="247"/>
      <c r="J31" s="32"/>
    </row>
    <row r="32" spans="1:10" ht="14.4" customHeight="1" x14ac:dyDescent="0.3">
      <c r="A32" s="248"/>
      <c r="B32" s="249"/>
      <c r="C32" s="250"/>
      <c r="D32" s="248"/>
      <c r="E32" s="249"/>
      <c r="F32" s="250"/>
      <c r="G32" s="248"/>
      <c r="H32" s="249"/>
      <c r="I32" s="250"/>
      <c r="J32" s="32"/>
    </row>
    <row r="33" spans="1:10" ht="14.4" customHeight="1" x14ac:dyDescent="0.3">
      <c r="A33" s="248"/>
      <c r="B33" s="249"/>
      <c r="C33" s="250"/>
      <c r="D33" s="248"/>
      <c r="E33" s="249"/>
      <c r="F33" s="250"/>
      <c r="G33" s="248"/>
      <c r="H33" s="249"/>
      <c r="I33" s="250"/>
      <c r="J33" s="32"/>
    </row>
    <row r="34" spans="1:10" ht="14.4" customHeight="1" x14ac:dyDescent="0.3">
      <c r="A34" s="248"/>
      <c r="B34" s="249"/>
      <c r="C34" s="250"/>
      <c r="D34" s="248"/>
      <c r="E34" s="249"/>
      <c r="F34" s="250"/>
      <c r="G34" s="248"/>
      <c r="H34" s="249"/>
      <c r="I34" s="250"/>
      <c r="J34" s="32"/>
    </row>
    <row r="35" spans="1:10" ht="14.4" customHeight="1" x14ac:dyDescent="0.3">
      <c r="A35" s="251" t="s">
        <v>139</v>
      </c>
      <c r="B35" s="252"/>
      <c r="C35" s="253"/>
      <c r="D35" s="251" t="s">
        <v>139</v>
      </c>
      <c r="E35" s="252"/>
      <c r="F35" s="253"/>
      <c r="G35" s="251" t="s">
        <v>139</v>
      </c>
      <c r="H35" s="252"/>
      <c r="I35" s="253"/>
      <c r="J35" s="32"/>
    </row>
    <row r="36" spans="1:10" ht="11.25" customHeight="1" x14ac:dyDescent="0.3">
      <c r="A36" s="60" t="s">
        <v>18</v>
      </c>
      <c r="B36" s="62"/>
      <c r="C36" s="62"/>
      <c r="D36" s="62"/>
      <c r="E36" s="62"/>
      <c r="F36" s="62"/>
      <c r="G36" s="62"/>
      <c r="H36" s="62"/>
      <c r="I36" s="62"/>
    </row>
    <row r="37" spans="1:10" x14ac:dyDescent="0.3">
      <c r="A37" s="198" t="s">
        <v>19</v>
      </c>
      <c r="B37" s="193"/>
      <c r="C37" s="193"/>
      <c r="D37" s="193"/>
      <c r="E37" s="193"/>
      <c r="F37" s="193"/>
      <c r="G37" s="193"/>
      <c r="H37" s="193"/>
      <c r="I37" s="193"/>
    </row>
  </sheetData>
  <sheetProtection algorithmName="SHA-512" hashValue="Fng9H+XQIPqUUk64WSH43+H2AGwNI4OnkZJSB8RMLw8OTB4E9OROfplz2gB9/IKIzP7FU0PJt0XlYndIy2xCZg==" saltValue="09yCokIw23YDuUg5sovMxQ==" spinCount="100000" sheet="1" objects="1" scenarios="1"/>
  <mergeCells count="83">
    <mergeCell ref="A37:I37"/>
    <mergeCell ref="A34:C34"/>
    <mergeCell ref="D34:F34"/>
    <mergeCell ref="G34:I34"/>
    <mergeCell ref="A35:C35"/>
    <mergeCell ref="D35:F35"/>
    <mergeCell ref="G35:I35"/>
    <mergeCell ref="A32:C32"/>
    <mergeCell ref="D32:F32"/>
    <mergeCell ref="G32:I32"/>
    <mergeCell ref="A33:C33"/>
    <mergeCell ref="D33:F33"/>
    <mergeCell ref="G33:I33"/>
    <mergeCell ref="A29:B29"/>
    <mergeCell ref="D29:E29"/>
    <mergeCell ref="G29:H29"/>
    <mergeCell ref="A31:C31"/>
    <mergeCell ref="D31:F31"/>
    <mergeCell ref="G31:I31"/>
    <mergeCell ref="A28:B28"/>
    <mergeCell ref="D28:E28"/>
    <mergeCell ref="G28:H28"/>
    <mergeCell ref="A21:B21"/>
    <mergeCell ref="D21:E21"/>
    <mergeCell ref="G21:H21"/>
    <mergeCell ref="A22:B22"/>
    <mergeCell ref="D22:E22"/>
    <mergeCell ref="G22:H22"/>
    <mergeCell ref="D23:E23"/>
    <mergeCell ref="G23:H23"/>
    <mergeCell ref="G24:H24"/>
    <mergeCell ref="G25:H25"/>
    <mergeCell ref="A27:B27"/>
    <mergeCell ref="D18:E18"/>
    <mergeCell ref="G18:H18"/>
    <mergeCell ref="D19:E19"/>
    <mergeCell ref="G19:H19"/>
    <mergeCell ref="A20:B20"/>
    <mergeCell ref="D20:E20"/>
    <mergeCell ref="G20:H20"/>
    <mergeCell ref="D15:E15"/>
    <mergeCell ref="G15:H15"/>
    <mergeCell ref="D16:E16"/>
    <mergeCell ref="G16:H16"/>
    <mergeCell ref="D17:E17"/>
    <mergeCell ref="G17:H17"/>
    <mergeCell ref="A12:I12"/>
    <mergeCell ref="B13:C13"/>
    <mergeCell ref="E13:F13"/>
    <mergeCell ref="H13:I13"/>
    <mergeCell ref="D14:E14"/>
    <mergeCell ref="G14:H14"/>
    <mergeCell ref="I10:I11"/>
    <mergeCell ref="A8:B9"/>
    <mergeCell ref="C8:D9"/>
    <mergeCell ref="E8:E9"/>
    <mergeCell ref="F8:G9"/>
    <mergeCell ref="H8:H9"/>
    <mergeCell ref="I8:I9"/>
    <mergeCell ref="A10:B11"/>
    <mergeCell ref="C10:D11"/>
    <mergeCell ref="E10:E11"/>
    <mergeCell ref="F10:G11"/>
    <mergeCell ref="H10:H11"/>
    <mergeCell ref="I6:I7"/>
    <mergeCell ref="A4:B5"/>
    <mergeCell ref="C4:D5"/>
    <mergeCell ref="E4:E5"/>
    <mergeCell ref="F4:G5"/>
    <mergeCell ref="H4:H5"/>
    <mergeCell ref="I4:I5"/>
    <mergeCell ref="A6:B7"/>
    <mergeCell ref="C6:D7"/>
    <mergeCell ref="E6:E7"/>
    <mergeCell ref="F6:G7"/>
    <mergeCell ref="H6:H7"/>
    <mergeCell ref="C1:I1"/>
    <mergeCell ref="A2:B3"/>
    <mergeCell ref="C2:D3"/>
    <mergeCell ref="E2:E3"/>
    <mergeCell ref="F2:G3"/>
    <mergeCell ref="H2:H3"/>
    <mergeCell ref="I2:I3"/>
  </mergeCells>
  <pageMargins left="0.39400000000000002" right="0.39400000000000002" top="0.59099999999999997" bottom="0.59099999999999997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Stavební rozpočet</vt:lpstr>
      <vt:lpstr>Stavební rozpočet - součet</vt:lpstr>
      <vt:lpstr>Krycí list rozpočtu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spravce</dc:creator>
  <cp:lastModifiedBy>TROJAN Karel Ing. Bc. Ph.D.</cp:lastModifiedBy>
  <dcterms:created xsi:type="dcterms:W3CDTF">2021-05-04T16:19:33Z</dcterms:created>
  <dcterms:modified xsi:type="dcterms:W3CDTF">2025-03-21T12:03:16Z</dcterms:modified>
</cp:coreProperties>
</file>