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ojan.karel\Desktop\Rozpočtové práce 2025\Opravy komunikací 2025\Romana Havelky\"/>
    </mc:Choice>
  </mc:AlternateContent>
  <bookViews>
    <workbookView xWindow="-120" yWindow="-120" windowWidth="38640" windowHeight="21240"/>
  </bookViews>
  <sheets>
    <sheet name="Stavební rozpočet" sheetId="1" r:id="rId1"/>
    <sheet name="Stavební rozpočet - součet" sheetId="2" r:id="rId2"/>
    <sheet name="Krycí list rozpočtu" sheetId="5" r:id="rId3"/>
  </sheets>
  <calcPr calcId="162913"/>
</workbook>
</file>

<file path=xl/calcChain.xml><?xml version="1.0" encoding="utf-8"?>
<calcChain xmlns="http://schemas.openxmlformats.org/spreadsheetml/2006/main">
  <c r="I49" i="1" l="1"/>
  <c r="H49" i="1"/>
  <c r="L33" i="1" l="1"/>
  <c r="J33" i="1"/>
  <c r="I33" i="1" s="1"/>
  <c r="H33" i="1"/>
  <c r="BI40" i="1"/>
  <c r="BC40" i="1"/>
  <c r="AO40" i="1"/>
  <c r="BH40" i="1" s="1"/>
  <c r="AB40" i="1" s="1"/>
  <c r="AN40" i="1"/>
  <c r="BG40" i="1" s="1"/>
  <c r="AA40" i="1" s="1"/>
  <c r="AJ40" i="1"/>
  <c r="AI40" i="1"/>
  <c r="AG40" i="1"/>
  <c r="AF40" i="1"/>
  <c r="AE40" i="1"/>
  <c r="AD40" i="1"/>
  <c r="AC40" i="1"/>
  <c r="Y40" i="1"/>
  <c r="L40" i="1"/>
  <c r="BE40" i="1" s="1"/>
  <c r="J40" i="1"/>
  <c r="AK40" i="1" s="1"/>
  <c r="H40" i="1" l="1"/>
  <c r="AV40" i="1"/>
  <c r="I40" i="1"/>
  <c r="AW40" i="1"/>
  <c r="BB40" i="1" l="1"/>
  <c r="AU40" i="1"/>
  <c r="G15" i="2" l="1"/>
  <c r="BI41" i="1"/>
  <c r="BC41" i="1"/>
  <c r="AO41" i="1"/>
  <c r="BH41" i="1" s="1"/>
  <c r="AB41" i="1" s="1"/>
  <c r="AN41" i="1"/>
  <c r="BG41" i="1" s="1"/>
  <c r="AA41" i="1" s="1"/>
  <c r="AJ41" i="1"/>
  <c r="AI41" i="1"/>
  <c r="AG41" i="1"/>
  <c r="AF41" i="1"/>
  <c r="AE41" i="1"/>
  <c r="AD41" i="1"/>
  <c r="AC41" i="1"/>
  <c r="Y41" i="1"/>
  <c r="L41" i="1"/>
  <c r="BE41" i="1" s="1"/>
  <c r="J41" i="1"/>
  <c r="AK41" i="1" s="1"/>
  <c r="L35" i="1"/>
  <c r="J35" i="1"/>
  <c r="I35" i="1" s="1"/>
  <c r="H35" i="1"/>
  <c r="AV41" i="1" l="1"/>
  <c r="AW41" i="1"/>
  <c r="H41" i="1"/>
  <c r="I41" i="1"/>
  <c r="J45" i="1"/>
  <c r="I45" i="1"/>
  <c r="H45" i="1"/>
  <c r="L49" i="1"/>
  <c r="J49" i="1"/>
  <c r="J48" i="1" s="1"/>
  <c r="F15" i="2" s="1"/>
  <c r="I48" i="1"/>
  <c r="E15" i="2" s="1"/>
  <c r="H48" i="1"/>
  <c r="D15" i="2" s="1"/>
  <c r="BB41" i="1" l="1"/>
  <c r="AU41" i="1"/>
  <c r="L31" i="1"/>
  <c r="L30" i="1" s="1"/>
  <c r="F60" i="1" s="1"/>
  <c r="F62" i="1" l="1"/>
  <c r="F61" i="1"/>
  <c r="C2" i="5"/>
  <c r="F2" i="5"/>
  <c r="C4" i="5"/>
  <c r="F4" i="5"/>
  <c r="C6" i="5"/>
  <c r="F6" i="5"/>
  <c r="C8" i="5"/>
  <c r="F8" i="5"/>
  <c r="C10" i="5"/>
  <c r="F10" i="5"/>
  <c r="I10" i="5"/>
  <c r="F22" i="5"/>
  <c r="I22" i="5"/>
  <c r="J13" i="1"/>
  <c r="L13" i="1"/>
  <c r="BE13" i="1" s="1"/>
  <c r="Y13" i="1"/>
  <c r="AC13" i="1"/>
  <c r="AD13" i="1"/>
  <c r="AE13" i="1"/>
  <c r="AF13" i="1"/>
  <c r="AG13" i="1"/>
  <c r="AI13" i="1"/>
  <c r="AJ13" i="1"/>
  <c r="AN13" i="1"/>
  <c r="AV13" i="1" s="1"/>
  <c r="AO13" i="1"/>
  <c r="I13" i="1" s="1"/>
  <c r="BC13" i="1"/>
  <c r="BI13" i="1"/>
  <c r="J15" i="1"/>
  <c r="AK15" i="1" s="1"/>
  <c r="L15" i="1"/>
  <c r="Y15" i="1"/>
  <c r="AC15" i="1"/>
  <c r="AD15" i="1"/>
  <c r="AE15" i="1"/>
  <c r="AF15" i="1"/>
  <c r="AG15" i="1"/>
  <c r="AI15" i="1"/>
  <c r="AJ15" i="1"/>
  <c r="AN15" i="1"/>
  <c r="H15" i="1" s="1"/>
  <c r="AO15" i="1"/>
  <c r="BH15" i="1" s="1"/>
  <c r="AB15" i="1" s="1"/>
  <c r="BC15" i="1"/>
  <c r="BI15" i="1"/>
  <c r="J17" i="1"/>
  <c r="AK17" i="1" s="1"/>
  <c r="L17" i="1"/>
  <c r="BE17" i="1" s="1"/>
  <c r="Y17" i="1"/>
  <c r="AC17" i="1"/>
  <c r="AD17" i="1"/>
  <c r="AE17" i="1"/>
  <c r="AF17" i="1"/>
  <c r="AG17" i="1"/>
  <c r="AI17" i="1"/>
  <c r="AJ17" i="1"/>
  <c r="AN17" i="1"/>
  <c r="H17" i="1" s="1"/>
  <c r="AO17" i="1"/>
  <c r="AW17" i="1" s="1"/>
  <c r="BC17" i="1"/>
  <c r="BI17" i="1"/>
  <c r="J19" i="1"/>
  <c r="L19" i="1"/>
  <c r="BE19" i="1" s="1"/>
  <c r="Y19" i="1"/>
  <c r="AC19" i="1"/>
  <c r="AD19" i="1"/>
  <c r="AE19" i="1"/>
  <c r="AF19" i="1"/>
  <c r="AG19" i="1"/>
  <c r="AI19" i="1"/>
  <c r="AJ19" i="1"/>
  <c r="AN19" i="1"/>
  <c r="BG19" i="1" s="1"/>
  <c r="AA19" i="1" s="1"/>
  <c r="AO19" i="1"/>
  <c r="I19" i="1" s="1"/>
  <c r="BC19" i="1"/>
  <c r="BI19" i="1"/>
  <c r="J21" i="1"/>
  <c r="L21" i="1"/>
  <c r="BE21" i="1" s="1"/>
  <c r="Y21" i="1"/>
  <c r="AC21" i="1"/>
  <c r="AD21" i="1"/>
  <c r="AE21" i="1"/>
  <c r="AF21" i="1"/>
  <c r="AG21" i="1"/>
  <c r="AI21" i="1"/>
  <c r="AJ21" i="1"/>
  <c r="AN21" i="1"/>
  <c r="H21" i="1" s="1"/>
  <c r="AO21" i="1"/>
  <c r="BH21" i="1" s="1"/>
  <c r="AB21" i="1" s="1"/>
  <c r="BC21" i="1"/>
  <c r="BI21" i="1"/>
  <c r="J23" i="1"/>
  <c r="L23" i="1"/>
  <c r="BE23" i="1" s="1"/>
  <c r="Y23" i="1"/>
  <c r="AC23" i="1"/>
  <c r="AD23" i="1"/>
  <c r="AE23" i="1"/>
  <c r="AF23" i="1"/>
  <c r="AG23" i="1"/>
  <c r="AI23" i="1"/>
  <c r="AJ23" i="1"/>
  <c r="AN23" i="1"/>
  <c r="BG23" i="1" s="1"/>
  <c r="AA23" i="1" s="1"/>
  <c r="AO23" i="1"/>
  <c r="BH23" i="1" s="1"/>
  <c r="AB23" i="1" s="1"/>
  <c r="BC23" i="1"/>
  <c r="BI23" i="1"/>
  <c r="J25" i="1"/>
  <c r="AK25" i="1" s="1"/>
  <c r="L25" i="1"/>
  <c r="BE25" i="1" s="1"/>
  <c r="Y25" i="1"/>
  <c r="AC25" i="1"/>
  <c r="AD25" i="1"/>
  <c r="AE25" i="1"/>
  <c r="AF25" i="1"/>
  <c r="AG25" i="1"/>
  <c r="AI25" i="1"/>
  <c r="AJ25" i="1"/>
  <c r="AN25" i="1"/>
  <c r="AV25" i="1" s="1"/>
  <c r="AO25" i="1"/>
  <c r="I25" i="1" s="1"/>
  <c r="BC25" i="1"/>
  <c r="BI25" i="1"/>
  <c r="J28" i="1"/>
  <c r="J27" i="1" s="1"/>
  <c r="F12" i="2" s="1"/>
  <c r="I12" i="2" s="1"/>
  <c r="L28" i="1"/>
  <c r="L27" i="1" s="1"/>
  <c r="G12" i="2" s="1"/>
  <c r="Y28" i="1"/>
  <c r="AC28" i="1"/>
  <c r="AD28" i="1"/>
  <c r="AE28" i="1"/>
  <c r="AF28" i="1"/>
  <c r="AG28" i="1"/>
  <c r="AI28" i="1"/>
  <c r="AR27" i="1" s="1"/>
  <c r="AJ28" i="1"/>
  <c r="AS27" i="1" s="1"/>
  <c r="AN28" i="1"/>
  <c r="H28" i="1" s="1"/>
  <c r="H27" i="1" s="1"/>
  <c r="D12" i="2" s="1"/>
  <c r="AO28" i="1"/>
  <c r="I28" i="1" s="1"/>
  <c r="I27" i="1" s="1"/>
  <c r="E12" i="2" s="1"/>
  <c r="BC28" i="1"/>
  <c r="BI28" i="1"/>
  <c r="J31" i="1"/>
  <c r="J30" i="1" s="1"/>
  <c r="BE31" i="1"/>
  <c r="Y31" i="1"/>
  <c r="AC31" i="1"/>
  <c r="AD31" i="1"/>
  <c r="AE31" i="1"/>
  <c r="AF31" i="1"/>
  <c r="AG31" i="1"/>
  <c r="AI31" i="1"/>
  <c r="AJ31" i="1"/>
  <c r="AN31" i="1"/>
  <c r="H31" i="1" s="1"/>
  <c r="AO31" i="1"/>
  <c r="BH31" i="1" s="1"/>
  <c r="AB31" i="1" s="1"/>
  <c r="BC31" i="1"/>
  <c r="BI31" i="1"/>
  <c r="J38" i="1"/>
  <c r="L38" i="1"/>
  <c r="L37" i="1" s="1"/>
  <c r="F57" i="1" s="1"/>
  <c r="L57" i="1" s="1"/>
  <c r="BE57" i="1" s="1"/>
  <c r="Y38" i="1"/>
  <c r="AC38" i="1"/>
  <c r="AD38" i="1"/>
  <c r="AE38" i="1"/>
  <c r="AF38" i="1"/>
  <c r="AG38" i="1"/>
  <c r="AI38" i="1"/>
  <c r="AJ38" i="1"/>
  <c r="AN38" i="1"/>
  <c r="BG38" i="1" s="1"/>
  <c r="AA38" i="1" s="1"/>
  <c r="AO38" i="1"/>
  <c r="I38" i="1" s="1"/>
  <c r="BC38" i="1"/>
  <c r="BI38" i="1"/>
  <c r="J43" i="1"/>
  <c r="L43" i="1"/>
  <c r="BE43" i="1" s="1"/>
  <c r="Y43" i="1"/>
  <c r="AC43" i="1"/>
  <c r="AD43" i="1"/>
  <c r="AE43" i="1"/>
  <c r="AF43" i="1"/>
  <c r="AG43" i="1"/>
  <c r="AI43" i="1"/>
  <c r="AJ43" i="1"/>
  <c r="AN43" i="1"/>
  <c r="BG43" i="1" s="1"/>
  <c r="AA43" i="1" s="1"/>
  <c r="AO43" i="1"/>
  <c r="BH43" i="1" s="1"/>
  <c r="AB43" i="1" s="1"/>
  <c r="BC43" i="1"/>
  <c r="BI43" i="1"/>
  <c r="J52" i="1"/>
  <c r="L52" i="1"/>
  <c r="BE52" i="1" s="1"/>
  <c r="Y52" i="1"/>
  <c r="AC52" i="1"/>
  <c r="AD52" i="1"/>
  <c r="AE52" i="1"/>
  <c r="AF52" i="1"/>
  <c r="AG52" i="1"/>
  <c r="AI52" i="1"/>
  <c r="AJ52" i="1"/>
  <c r="AN52" i="1"/>
  <c r="BG52" i="1" s="1"/>
  <c r="AA52" i="1" s="1"/>
  <c r="AO52" i="1"/>
  <c r="BH52" i="1" s="1"/>
  <c r="AB52" i="1" s="1"/>
  <c r="BC52" i="1"/>
  <c r="BI52" i="1"/>
  <c r="AA57" i="1"/>
  <c r="AB57" i="1"/>
  <c r="AC57" i="1"/>
  <c r="AD57" i="1"/>
  <c r="AE57" i="1"/>
  <c r="AF57" i="1"/>
  <c r="AG57" i="1"/>
  <c r="AI57" i="1"/>
  <c r="AR56" i="1" s="1"/>
  <c r="AJ57" i="1"/>
  <c r="AS56" i="1" s="1"/>
  <c r="AN57" i="1"/>
  <c r="AO57" i="1"/>
  <c r="BC57" i="1"/>
  <c r="J60" i="1"/>
  <c r="L60" i="1"/>
  <c r="BE60" i="1" s="1"/>
  <c r="AA60" i="1"/>
  <c r="AB60" i="1"/>
  <c r="AC60" i="1"/>
  <c r="AD60" i="1"/>
  <c r="AE60" i="1"/>
  <c r="AF60" i="1"/>
  <c r="AG60" i="1"/>
  <c r="AI60" i="1"/>
  <c r="AJ60" i="1"/>
  <c r="AN60" i="1"/>
  <c r="BG60" i="1" s="1"/>
  <c r="AO60" i="1"/>
  <c r="I60" i="1" s="1"/>
  <c r="BC60" i="1"/>
  <c r="BI60" i="1"/>
  <c r="Y60" i="1" s="1"/>
  <c r="J61" i="1"/>
  <c r="L61" i="1"/>
  <c r="BE61" i="1" s="1"/>
  <c r="AA61" i="1"/>
  <c r="AB61" i="1"/>
  <c r="AC61" i="1"/>
  <c r="AD61" i="1"/>
  <c r="AE61" i="1"/>
  <c r="AF61" i="1"/>
  <c r="AG61" i="1"/>
  <c r="AI61" i="1"/>
  <c r="AJ61" i="1"/>
  <c r="AN61" i="1"/>
  <c r="BG61" i="1" s="1"/>
  <c r="AO61" i="1"/>
  <c r="BH61" i="1" s="1"/>
  <c r="BC61" i="1"/>
  <c r="BI61" i="1"/>
  <c r="Y61" i="1" s="1"/>
  <c r="B2" i="2"/>
  <c r="E2" i="2"/>
  <c r="B4" i="2"/>
  <c r="E4" i="2"/>
  <c r="B6" i="2"/>
  <c r="E6" i="2"/>
  <c r="B8" i="2"/>
  <c r="E8" i="2"/>
  <c r="BI57" i="1" l="1"/>
  <c r="Y57" i="1" s="1"/>
  <c r="BH57" i="1"/>
  <c r="H57" i="1"/>
  <c r="H56" i="1" s="1"/>
  <c r="D17" i="2" s="1"/>
  <c r="J57" i="1"/>
  <c r="AK57" i="1" s="1"/>
  <c r="AT56" i="1" s="1"/>
  <c r="J37" i="1"/>
  <c r="F14" i="2" s="1"/>
  <c r="J12" i="1"/>
  <c r="BE38" i="1"/>
  <c r="G14" i="2"/>
  <c r="AK19" i="1"/>
  <c r="BH13" i="1"/>
  <c r="AB13" i="1" s="1"/>
  <c r="AS37" i="1"/>
  <c r="AK60" i="1"/>
  <c r="H60" i="1"/>
  <c r="AS59" i="1"/>
  <c r="AV60" i="1"/>
  <c r="AW38" i="1"/>
  <c r="AK13" i="1"/>
  <c r="AW57" i="1"/>
  <c r="AR51" i="1"/>
  <c r="I52" i="1"/>
  <c r="I51" i="1" s="1"/>
  <c r="E16" i="2" s="1"/>
  <c r="H25" i="1"/>
  <c r="BH19" i="1"/>
  <c r="AB19" i="1" s="1"/>
  <c r="AS30" i="1"/>
  <c r="BG17" i="1"/>
  <c r="AA17" i="1" s="1"/>
  <c r="BG15" i="1"/>
  <c r="AA15" i="1" s="1"/>
  <c r="I15" i="1"/>
  <c r="AW52" i="1"/>
  <c r="AR30" i="1"/>
  <c r="BG25" i="1"/>
  <c r="AA25" i="1" s="1"/>
  <c r="AW19" i="1"/>
  <c r="AK21" i="1"/>
  <c r="AV17" i="1"/>
  <c r="AU17" i="1" s="1"/>
  <c r="AW15" i="1"/>
  <c r="AW60" i="1"/>
  <c r="I57" i="1"/>
  <c r="I56" i="1" s="1"/>
  <c r="E17" i="2" s="1"/>
  <c r="AV15" i="1"/>
  <c r="C28" i="5"/>
  <c r="F28" i="5" s="1"/>
  <c r="AK61" i="1"/>
  <c r="AK43" i="1"/>
  <c r="AV38" i="1"/>
  <c r="AW31" i="1"/>
  <c r="AK28" i="1"/>
  <c r="AT27" i="1" s="1"/>
  <c r="AW23" i="1"/>
  <c r="AW21" i="1"/>
  <c r="BG13" i="1"/>
  <c r="AA13" i="1" s="1"/>
  <c r="C27" i="5"/>
  <c r="J51" i="1"/>
  <c r="F16" i="2" s="1"/>
  <c r="I16" i="2" s="1"/>
  <c r="BH17" i="1"/>
  <c r="AB17" i="1" s="1"/>
  <c r="AR12" i="1"/>
  <c r="H43" i="1"/>
  <c r="AK38" i="1"/>
  <c r="I17" i="1"/>
  <c r="L12" i="1"/>
  <c r="G11" i="2" s="1"/>
  <c r="AW13" i="1"/>
  <c r="BB13" i="1" s="1"/>
  <c r="C18" i="5"/>
  <c r="H61" i="1"/>
  <c r="F13" i="2"/>
  <c r="BE28" i="1"/>
  <c r="C19" i="5"/>
  <c r="C17" i="5"/>
  <c r="I23" i="1"/>
  <c r="C16" i="5"/>
  <c r="AV43" i="1"/>
  <c r="BH38" i="1"/>
  <c r="AB38" i="1" s="1"/>
  <c r="AR37" i="1"/>
  <c r="I31" i="1"/>
  <c r="BH60" i="1"/>
  <c r="AR59" i="1"/>
  <c r="AS51" i="1"/>
  <c r="H38" i="1"/>
  <c r="H37" i="1" s="1"/>
  <c r="G13" i="2"/>
  <c r="C20" i="5"/>
  <c r="I21" i="1"/>
  <c r="H30" i="1"/>
  <c r="D13" i="2" s="1"/>
  <c r="AW61" i="1"/>
  <c r="AW43" i="1"/>
  <c r="AK31" i="1"/>
  <c r="AV19" i="1"/>
  <c r="BE15" i="1"/>
  <c r="H13" i="1"/>
  <c r="AV61" i="1"/>
  <c r="L59" i="1"/>
  <c r="G18" i="2" s="1"/>
  <c r="BH28" i="1"/>
  <c r="AB28" i="1" s="1"/>
  <c r="I61" i="1"/>
  <c r="I59" i="1" s="1"/>
  <c r="E18" i="2" s="1"/>
  <c r="J59" i="1"/>
  <c r="F18" i="2" s="1"/>
  <c r="I18" i="2" s="1"/>
  <c r="L56" i="1"/>
  <c r="G17" i="2" s="1"/>
  <c r="AV52" i="1"/>
  <c r="I43" i="1"/>
  <c r="I37" i="1" s="1"/>
  <c r="BG28" i="1"/>
  <c r="AA28" i="1" s="1"/>
  <c r="BH25" i="1"/>
  <c r="AB25" i="1" s="1"/>
  <c r="AV23" i="1"/>
  <c r="H19" i="1"/>
  <c r="AS12" i="1"/>
  <c r="H52" i="1"/>
  <c r="H51" i="1" s="1"/>
  <c r="H23" i="1"/>
  <c r="AK52" i="1"/>
  <c r="AW28" i="1"/>
  <c r="AK23" i="1"/>
  <c r="BG57" i="1"/>
  <c r="BG31" i="1"/>
  <c r="AA31" i="1" s="1"/>
  <c r="AV28" i="1"/>
  <c r="AW25" i="1"/>
  <c r="AU25" i="1" s="1"/>
  <c r="BG21" i="1"/>
  <c r="AA21" i="1" s="1"/>
  <c r="L51" i="1"/>
  <c r="G16" i="2" s="1"/>
  <c r="AV57" i="1"/>
  <c r="AV31" i="1"/>
  <c r="AV21" i="1"/>
  <c r="J56" i="1" l="1"/>
  <c r="J63" i="1" s="1"/>
  <c r="I13" i="2"/>
  <c r="I30" i="1"/>
  <c r="E13" i="2" s="1"/>
  <c r="C21" i="5"/>
  <c r="D14" i="2"/>
  <c r="BB60" i="1"/>
  <c r="BB43" i="1"/>
  <c r="BB17" i="1"/>
  <c r="BB15" i="1"/>
  <c r="AT59" i="1"/>
  <c r="BB38" i="1"/>
  <c r="AT37" i="1"/>
  <c r="D16" i="2"/>
  <c r="AU38" i="1"/>
  <c r="H59" i="1"/>
  <c r="D18" i="2" s="1"/>
  <c r="I12" i="1"/>
  <c r="E11" i="2" s="1"/>
  <c r="AU13" i="1"/>
  <c r="AT12" i="1"/>
  <c r="AU60" i="1"/>
  <c r="AT30" i="1"/>
  <c r="AU15" i="1"/>
  <c r="AT51" i="1"/>
  <c r="BB25" i="1"/>
  <c r="AU43" i="1"/>
  <c r="E14" i="2"/>
  <c r="AU23" i="1"/>
  <c r="BB23" i="1"/>
  <c r="BB19" i="1"/>
  <c r="AU19" i="1"/>
  <c r="AU21" i="1"/>
  <c r="BB21" i="1"/>
  <c r="AU31" i="1"/>
  <c r="BB31" i="1"/>
  <c r="F11" i="2"/>
  <c r="I11" i="2" s="1"/>
  <c r="AU61" i="1"/>
  <c r="BB61" i="1"/>
  <c r="H12" i="1"/>
  <c r="D11" i="2" s="1"/>
  <c r="AU28" i="1"/>
  <c r="BB28" i="1"/>
  <c r="AU57" i="1"/>
  <c r="BB57" i="1"/>
  <c r="AU52" i="1"/>
  <c r="BB52" i="1"/>
  <c r="F17" i="2" l="1"/>
  <c r="I17" i="2" s="1"/>
  <c r="F19" i="2"/>
  <c r="C15" i="5"/>
  <c r="D19" i="2"/>
  <c r="C14" i="5" s="1"/>
  <c r="E19" i="2"/>
  <c r="I14" i="2"/>
  <c r="C22" i="5" l="1"/>
  <c r="C29" i="5" s="1"/>
  <c r="I28" i="5" s="1"/>
  <c r="F29" i="5" l="1"/>
  <c r="I29" i="5" s="1"/>
</calcChain>
</file>

<file path=xl/sharedStrings.xml><?xml version="1.0" encoding="utf-8"?>
<sst xmlns="http://schemas.openxmlformats.org/spreadsheetml/2006/main" count="423" uniqueCount="210">
  <si>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</si>
  <si>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</si>
  <si>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</si>
  <si>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</si>
  <si>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</si>
  <si>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</si>
  <si>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</si>
  <si>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</si>
  <si>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</si>
  <si>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</si>
  <si>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</si>
  <si>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</si>
  <si>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</si>
  <si>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</si>
  <si>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</si>
  <si>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</si>
  <si>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11</t>
  </si>
  <si>
    <t>15</t>
  </si>
  <si>
    <t>Poznámka:</t>
  </si>
  <si>
    <t>Náklady na veškeré výkony a materiály jsou obsaženy v příslušných položkách</t>
  </si>
  <si>
    <t>Objekt</t>
  </si>
  <si>
    <t>Kód</t>
  </si>
  <si>
    <t>010VD</t>
  </si>
  <si>
    <t>100 00-01</t>
  </si>
  <si>
    <t>020VD</t>
  </si>
  <si>
    <t>200 00-01</t>
  </si>
  <si>
    <t>Varianta:</t>
  </si>
  <si>
    <t>57</t>
  </si>
  <si>
    <t>573211112R00</t>
  </si>
  <si>
    <t>91</t>
  </si>
  <si>
    <t>919726212R00</t>
  </si>
  <si>
    <t>H22</t>
  </si>
  <si>
    <t>998225111R00</t>
  </si>
  <si>
    <t>S</t>
  </si>
  <si>
    <t>979082213R00</t>
  </si>
  <si>
    <t>979082219R00</t>
  </si>
  <si>
    <t>Jihlava</t>
  </si>
  <si>
    <t>Zkrácený popis / Varianta</t>
  </si>
  <si>
    <t>Rozměry</t>
  </si>
  <si>
    <t>Vedlejší náklady</t>
  </si>
  <si>
    <t>Dopravně inženýrská opatření</t>
  </si>
  <si>
    <t>Náklady na zajištění dopravy</t>
  </si>
  <si>
    <t>Náklady na projednání návrhu dočasného dopravního značení /MMJ, odbor dopravy, Policie ČR, DI/, zřízení, přemisťování a zrušení dočasného dopravního značení pro jednotlivé stavby ve vazbě na harmonogram prací.</t>
  </si>
  <si>
    <t>Náklady na informační cedule</t>
  </si>
  <si>
    <t xml:space="preserve">Náklady na pořízení informačních, zákazových a příkazových cedulí pro zajištění označení stavby a příkazových cedulí pro vymezení pohybu chodců či vozidel po staveništi (osazení dle potřeby stavby), _x000D_
náklady na osazení, přemístění a zrušení cedulí_x000D_
</t>
  </si>
  <si>
    <t>Náklady na oplocení, ohrazení výkopů</t>
  </si>
  <si>
    <t>Náklady na zřízení, údržbu, přemístění a zrušení oplocení či ohrazení výkopových rýh a jam, případně jejich jiné vyznačení v terénu po dobu jejich existence s odkazem na předpisy BOZP a součinnost určeného koordinátora BOZP stavby</t>
  </si>
  <si>
    <t>Náklady na zařízení staveniště</t>
  </si>
  <si>
    <t xml:space="preserve">Náklady na projednání a zajištění míst GZS (zázemí zhotovitele, skládky materiálů k zabudování do stavby, skládky sypkých materiálů). Vše rozsahu souvisejících nákladů a případných poplatků za užívání či nájem ploch. Zařízení staveniště pro stavbu._x000D_
</t>
  </si>
  <si>
    <t>Náklady na zajištění skládek</t>
  </si>
  <si>
    <t>Náklady na projednání a zajištění míst mezideponií a deponií vytěžených hmot, tzn. projednání uložení vytěžených hmot na dočasné skládky po dobu stavby, respektive trvalé skládky za účelem trvalého uložení vytěžených hmot s vlastníky pozemků či skládek. Před zahájením stavby bude doložen investorovi smluvní vztah s vlastníkem pozemků na nichž budou zeminy či vytěžené hmoty ukládány.</t>
  </si>
  <si>
    <t>Náklady na vypracování harmonogramu</t>
  </si>
  <si>
    <t>Náklady na vypracování harmonogramu stavebních prací pro stavbu s jeho průběžnou aktualizací, projednání a odsouhlasení s investorem, provozovatelem, DOS a koordinátorem BOZP.</t>
  </si>
  <si>
    <t>Ostatní náklady</t>
  </si>
  <si>
    <t>Dokumentace skutečného provedení stavby</t>
  </si>
  <si>
    <t>Dokumentace skutečného provedení stavebních objektů /opravené situace, popř. předepsaná fotodokumentace atd./, dle specifikace uvedené u jednotlivých stavebních objektů, mimo geodetického zaměření Microstation.</t>
  </si>
  <si>
    <t>Přípravné a přidružené práce</t>
  </si>
  <si>
    <t>Kryty pozemních komunikací, letišť a ploch z kameniva nebo živičné</t>
  </si>
  <si>
    <t>Postřik živičný spojovací z asfaltu 0,25 kg/m2</t>
  </si>
  <si>
    <t>modifikovaný</t>
  </si>
  <si>
    <t>Doplňující konstrukce a práce na pozemních komunikacích a zpevněných plochách</t>
  </si>
  <si>
    <t>Těsnění spár krytu vozovky zálivkou za studena</t>
  </si>
  <si>
    <t>Komunikace pozemní a letiště</t>
  </si>
  <si>
    <t>Přesun hmot, pozemní komunikace, kryt živičný</t>
  </si>
  <si>
    <t>Přesuny sutí</t>
  </si>
  <si>
    <t>Vodorovná doprava suti po suchu do 1 km</t>
  </si>
  <si>
    <t>Příplatek za dopravu suti po suchu za další 1 km</t>
  </si>
  <si>
    <t>Doba výstavby:</t>
  </si>
  <si>
    <t>Začátek výstavby:</t>
  </si>
  <si>
    <t>Konec výstavby:</t>
  </si>
  <si>
    <t>Zpracováno dne:</t>
  </si>
  <si>
    <t>MJ</t>
  </si>
  <si>
    <t>soubor</t>
  </si>
  <si>
    <t>m2</t>
  </si>
  <si>
    <t>m</t>
  </si>
  <si>
    <t>t</t>
  </si>
  <si>
    <t>Množství</t>
  </si>
  <si>
    <t>Cena/MJ</t>
  </si>
  <si>
    <t>(Kč)</t>
  </si>
  <si>
    <t>Objednatel:</t>
  </si>
  <si>
    <t>Projektant:</t>
  </si>
  <si>
    <t>Zhotovitel:</t>
  </si>
  <si>
    <t>Zpracoval:</t>
  </si>
  <si>
    <t>Náklady (Kč)</t>
  </si>
  <si>
    <t>Dodávka</t>
  </si>
  <si>
    <t>Celkem:</t>
  </si>
  <si>
    <t>Statutární město Jihlava</t>
  </si>
  <si>
    <t> </t>
  </si>
  <si>
    <t>dle výběrového řízení</t>
  </si>
  <si>
    <t>Montáž</t>
  </si>
  <si>
    <t>Celkem</t>
  </si>
  <si>
    <t>Hmotnost (t)</t>
  </si>
  <si>
    <t>Jednot.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</si>
  <si>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</si>
  <si>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</si>
  <si>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</si>
  <si>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</si>
  <si>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</si>
  <si>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</si>
  <si>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</si>
  <si>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</si>
  <si>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</si>
  <si>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010VD_</t>
  </si>
  <si>
    <t>020VD_</t>
  </si>
  <si>
    <t>11_</t>
  </si>
  <si>
    <t>57_</t>
  </si>
  <si>
    <t>91_</t>
  </si>
  <si>
    <t>H22_</t>
  </si>
  <si>
    <t>S_</t>
  </si>
  <si>
    <t>0_</t>
  </si>
  <si>
    <t>1_</t>
  </si>
  <si>
    <t>5_</t>
  </si>
  <si>
    <t>9_</t>
  </si>
  <si>
    <t>_</t>
  </si>
  <si>
    <t>MAT</t>
  </si>
  <si>
    <t>WORK</t>
  </si>
  <si>
    <t>CELK</t>
  </si>
  <si>
    <t>ISWORK</t>
  </si>
  <si>
    <t>P</t>
  </si>
  <si>
    <t>GROUPCODE</t>
  </si>
  <si>
    <t>Stavební rozpočet - rekapitulace</t>
  </si>
  <si>
    <t>Zkrácený popis</t>
  </si>
  <si>
    <t>Náklady (Kč) - dodávka</t>
  </si>
  <si>
    <t>Náklady (Kč) - Montáž</t>
  </si>
  <si>
    <t>Náklady (Kč) - celkem</t>
  </si>
  <si>
    <t>Celková hmotnost (t)</t>
  </si>
  <si>
    <t>T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</si>
  <si>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</si>
  <si>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</si>
  <si>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</si>
  <si>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</si>
  <si>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</si>
  <si>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</si>
  <si>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</si>
  <si>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</si>
  <si>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</si>
  <si>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</si>
  <si>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</si>
  <si>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</si>
  <si>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</si>
  <si>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</si>
  <si>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</si>
  <si>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</si>
  <si>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</si>
  <si>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</si>
  <si>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</si>
  <si>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</si>
  <si>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</si>
  <si>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</si>
  <si>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</si>
  <si>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</si>
  <si>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</si>
  <si>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</si>
  <si>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</si>
  <si>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</si>
  <si>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</si>
  <si>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</si>
  <si>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</si>
  <si>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</si>
  <si>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</si>
  <si>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</si>
  <si>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</si>
  <si>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</si>
  <si>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</si>
  <si>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</si>
  <si>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</si>
  <si>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</si>
  <si>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</si>
  <si>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</si>
  <si>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</si>
  <si>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</si>
  <si>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00286010/</t>
  </si>
  <si>
    <t>Ing. Bc. Karel Trojan</t>
  </si>
  <si>
    <t>trvale pružný asfaltový tmel</t>
  </si>
  <si>
    <t>Položka obsahuje nakládku R-materiálu a zametení (dočištění) frézovaných míst</t>
  </si>
  <si>
    <t>113151314R00</t>
  </si>
  <si>
    <t>577132111R00</t>
  </si>
  <si>
    <t>Dopravně inženýrská opatření po dobu stavby vč. vypracování projektu DIO, prováděná v souladu s pokyny Policie ČR - dopravního inspektorátu, dle pokynů příslušného odboru dopravy a správce komunikace - Služby města Jihlavy a dle pokynů dalších příslušných orgánů._x000D_
Včetně veškerého přechodného dopravního značení, vč. instalace a zajištění servisu značení po celou dobu trvání stavby._x000D_
Zajištění prací pro "Stanovení přechodné úpravy silničního provozu na komunikacích dle §77 zákona č. 361/2000 Sb., O provozu na pozemních komunikacích."</t>
  </si>
  <si>
    <t>Asfaltový koberec mastixový SMA 11 (AKMS) "SMA 11 s PMB 45/80-65" s rozprostředním a se zhutněním v pruhu šířky přes 3 m, po zhutněnní tl. 40 mm</t>
  </si>
  <si>
    <t>Pozn. doprava recyklátu na skládku objednatele do 10 km od místa provádění stavby 125*10</t>
  </si>
  <si>
    <t>12</t>
  </si>
  <si>
    <t>89</t>
  </si>
  <si>
    <t>Ostatní konstrukce a práce na trubním vedení</t>
  </si>
  <si>
    <t>899331111R00</t>
  </si>
  <si>
    <t>kus</t>
  </si>
  <si>
    <t>89_</t>
  </si>
  <si>
    <t>8_</t>
  </si>
  <si>
    <t>19</t>
  </si>
  <si>
    <t>596215021R00</t>
  </si>
  <si>
    <t>Frézování živič.krytu nad 500 m2, s překážkami, tl.4 cm</t>
  </si>
  <si>
    <t>577142122R00</t>
  </si>
  <si>
    <t>Beton asfalt. ACL 16+ ložný, š. do 3 m, tl. 6 cm</t>
  </si>
  <si>
    <t>17</t>
  </si>
  <si>
    <t>18</t>
  </si>
  <si>
    <t>Frézování živič.krytu do 500 m2, s překážkami, tl.6 cm</t>
  </si>
  <si>
    <t>Položka obsahuje nakládku R-materiálu a zametení (dočištění) frézovaných míst - frézování lokálních poruch v ložné vrstvě</t>
  </si>
  <si>
    <t>Výšková úprava vstupu do 20 cm, zvýšení poklopu uliční vpusti/revizní šachty kanalizace</t>
  </si>
  <si>
    <t>20</t>
  </si>
  <si>
    <t>07.03.2025</t>
  </si>
  <si>
    <t>Beton asfalt. ACL 16+ ložný, š.nad 3 m, tl. 6 cm</t>
  </si>
  <si>
    <t>577142122RT2</t>
  </si>
  <si>
    <t>Kladení betonové přídlažby do betonu</t>
  </si>
  <si>
    <t>13</t>
  </si>
  <si>
    <t>Výměna betonové přídlažby v místech poškození, náhradní kusy dodá investor ze svého skladu</t>
  </si>
  <si>
    <t>23</t>
  </si>
  <si>
    <t>Frézování živič.krytu nad 500 m2, s překážkami, tl.6 cm</t>
  </si>
  <si>
    <t>14</t>
  </si>
  <si>
    <t>21</t>
  </si>
  <si>
    <t>podél frézovaných spár v asfaltu, ošetření trhlin v ložné vrstvě po odfrézování (včetně proříznutí)</t>
  </si>
  <si>
    <t>Rekonstrukce komunikace ul. Romana Havelky, Jihlava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</si>
</sst>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0"/>
      <name val="Arial"/>
      <family val="2"/>
      <charset val="238"/>
    </font>
    <font>
      <i/>
      <sz val="10"/>
      <color indexed="58"/>
      <name val="Arial"/>
      <family val="2"/>
      <charset val="238"/>
    </font>
    <font>
      <i/>
      <sz val="10"/>
      <color indexed="59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6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7CE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9" fontId="4" fillId="0" borderId="22" xfId="0" applyNumberFormat="1" applyFont="1" applyFill="1" applyBorder="1" applyAlignment="1" applyProtection="1">
      <alignment horizontal="left" vertical="center"/>
    </xf>
    <xf numFmtId="0" fontId="22" fillId="6" borderId="0" applyNumberFormat="0" applyBorder="0" applyAlignment="0" applyProtection="0"/>
    <xf numFmtId="0" fontId="1" fillId="0" borderId="0"/>
  </cellStyleXfs>
  <cellXfs count="180">
    <xf numFmtId="0" fontId="2" fillId="0" borderId="0" xfId="0" applyFont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49" fontId="2" fillId="0" borderId="6" xfId="0" applyNumberFormat="1" applyFont="1" applyFill="1" applyBorder="1" applyAlignment="1" applyProtection="1">
      <alignment horizontal="left" vertical="center"/>
    </xf>
    <xf numFmtId="49" fontId="5" fillId="2" borderId="7" xfId="0" applyNumberFormat="1" applyFont="1" applyFill="1" applyBorder="1" applyAlignment="1" applyProtection="1">
      <alignment horizontal="left" vertical="center"/>
    </xf>
    <xf numFmtId="49" fontId="6" fillId="0" borderId="3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49" fontId="2" fillId="0" borderId="12" xfId="0" applyNumberFormat="1" applyFont="1" applyFill="1" applyBorder="1" applyAlignment="1" applyProtection="1">
      <alignment horizontal="left" vertical="center"/>
    </xf>
    <xf numFmtId="49" fontId="8" fillId="2" borderId="13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horizontal="left" vertical="center"/>
    </xf>
    <xf numFmtId="49" fontId="8" fillId="2" borderId="0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9" fontId="10" fillId="0" borderId="0" xfId="0" applyNumberFormat="1" applyFont="1" applyFill="1" applyBorder="1" applyAlignment="1" applyProtection="1">
      <alignment horizontal="right" vertical="top"/>
    </xf>
    <xf numFmtId="49" fontId="4" fillId="0" borderId="12" xfId="0" applyNumberFormat="1" applyFont="1" applyFill="1" applyBorder="1" applyAlignment="1" applyProtection="1">
      <alignment horizontal="left" vertical="center"/>
    </xf>
    <xf numFmtId="49" fontId="12" fillId="0" borderId="0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2" borderId="13" xfId="0" applyNumberFormat="1" applyFont="1" applyFill="1" applyBorder="1" applyAlignment="1" applyProtection="1">
      <alignment horizontal="left" vertical="center"/>
    </xf>
    <xf numFmtId="49" fontId="5" fillId="2" borderId="0" xfId="0" applyNumberFormat="1" applyFont="1" applyFill="1" applyBorder="1" applyAlignment="1" applyProtection="1">
      <alignment horizontal="left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2" fillId="0" borderId="0" xfId="0" applyNumberFormat="1" applyFont="1" applyFill="1" applyBorder="1" applyAlignment="1" applyProtection="1">
      <alignment horizontal="right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</xf>
    <xf numFmtId="49" fontId="4" fillId="0" borderId="20" xfId="0" applyNumberFormat="1" applyFont="1" applyFill="1" applyBorder="1" applyAlignment="1" applyProtection="1">
      <alignment horizontal="center" vertical="center"/>
    </xf>
    <xf numFmtId="49" fontId="8" fillId="2" borderId="13" xfId="0" applyNumberFormat="1" applyFont="1" applyFill="1" applyBorder="1" applyAlignment="1" applyProtection="1">
      <alignment horizontal="right" vertical="center"/>
    </xf>
    <xf numFmtId="49" fontId="8" fillId="2" borderId="0" xfId="0" applyNumberFormat="1" applyFont="1" applyFill="1" applyBorder="1" applyAlignment="1" applyProtection="1">
      <alignment horizontal="right" vertical="center"/>
    </xf>
    <xf numFmtId="0" fontId="2" fillId="0" borderId="22" xfId="0" applyNumberFormat="1" applyFont="1" applyFill="1" applyBorder="1" applyAlignment="1" applyProtection="1">
      <alignment vertical="center"/>
    </xf>
    <xf numFmtId="0" fontId="2" fillId="0" borderId="26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2" fillId="0" borderId="0" xfId="0" applyNumberFormat="1" applyFont="1" applyFill="1" applyBorder="1" applyAlignment="1" applyProtection="1">
      <alignment horizontal="right" vertical="center"/>
    </xf>
    <xf numFmtId="49" fontId="4" fillId="0" borderId="0" xfId="0" applyNumberFormat="1" applyFont="1" applyFill="1" applyBorder="1" applyAlignment="1" applyProtection="1">
      <alignment horizontal="right" vertical="center"/>
    </xf>
    <xf numFmtId="4" fontId="8" fillId="2" borderId="13" xfId="0" applyNumberFormat="1" applyFont="1" applyFill="1" applyBorder="1" applyAlignment="1" applyProtection="1">
      <alignment horizontal="right" vertical="center"/>
    </xf>
    <xf numFmtId="4" fontId="8" fillId="2" borderId="0" xfId="0" applyNumberFormat="1" applyFont="1" applyFill="1" applyBorder="1" applyAlignment="1" applyProtection="1">
      <alignment horizontal="righ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9" fontId="4" fillId="0" borderId="27" xfId="0" applyNumberFormat="1" applyFont="1" applyFill="1" applyBorder="1" applyAlignment="1" applyProtection="1">
      <alignment horizontal="left" vertical="center"/>
    </xf>
    <xf numFmtId="49" fontId="2" fillId="0" borderId="7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4" fillId="0" borderId="28" xfId="0" applyNumberFormat="1" applyFont="1" applyFill="1" applyBorder="1" applyAlignment="1" applyProtection="1">
      <alignment horizontal="left" vertical="center"/>
    </xf>
    <xf numFmtId="49" fontId="2" fillId="0" borderId="13" xfId="0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left" vertical="center"/>
    </xf>
    <xf numFmtId="49" fontId="4" fillId="0" borderId="29" xfId="0" applyNumberFormat="1" applyFont="1" applyFill="1" applyBorder="1" applyAlignment="1" applyProtection="1">
      <alignment horizontal="center" vertical="center"/>
    </xf>
    <xf numFmtId="49" fontId="4" fillId="0" borderId="30" xfId="0" applyNumberFormat="1" applyFont="1" applyFill="1" applyBorder="1" applyAlignment="1" applyProtection="1">
      <alignment horizontal="center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24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right" vertical="center"/>
    </xf>
    <xf numFmtId="4" fontId="2" fillId="0" borderId="25" xfId="0" applyNumberFormat="1" applyFont="1" applyFill="1" applyBorder="1" applyAlignment="1" applyProtection="1">
      <alignment horizontal="right" vertical="center"/>
    </xf>
    <xf numFmtId="49" fontId="14" fillId="3" borderId="35" xfId="0" applyNumberFormat="1" applyFont="1" applyFill="1" applyBorder="1" applyAlignment="1" applyProtection="1">
      <alignment horizontal="center" vertical="center"/>
    </xf>
    <xf numFmtId="49" fontId="15" fillId="0" borderId="36" xfId="0" applyNumberFormat="1" applyFont="1" applyFill="1" applyBorder="1" applyAlignment="1" applyProtection="1">
      <alignment horizontal="left" vertical="center"/>
    </xf>
    <xf numFmtId="49" fontId="15" fillId="0" borderId="37" xfId="0" applyNumberFormat="1" applyFont="1" applyFill="1" applyBorder="1" applyAlignment="1" applyProtection="1">
      <alignment horizontal="left" vertical="center"/>
    </xf>
    <xf numFmtId="0" fontId="2" fillId="0" borderId="39" xfId="0" applyNumberFormat="1" applyFont="1" applyFill="1" applyBorder="1" applyAlignment="1" applyProtection="1">
      <alignment vertical="center"/>
    </xf>
    <xf numFmtId="49" fontId="7" fillId="0" borderId="13" xfId="0" applyNumberFormat="1" applyFont="1" applyFill="1" applyBorder="1" applyAlignment="1" applyProtection="1">
      <alignment horizontal="left" vertical="center"/>
    </xf>
    <xf numFmtId="49" fontId="16" fillId="0" borderId="35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vertical="center"/>
    </xf>
    <xf numFmtId="0" fontId="2" fillId="0" borderId="21" xfId="0" applyNumberFormat="1" applyFont="1" applyFill="1" applyBorder="1" applyAlignment="1" applyProtection="1">
      <alignment vertical="center"/>
    </xf>
    <xf numFmtId="4" fontId="16" fillId="0" borderId="35" xfId="0" applyNumberFormat="1" applyFont="1" applyFill="1" applyBorder="1" applyAlignment="1" applyProtection="1">
      <alignment horizontal="right" vertical="center"/>
    </xf>
    <xf numFmtId="49" fontId="16" fillId="0" borderId="35" xfId="0" applyNumberFormat="1" applyFont="1" applyFill="1" applyBorder="1" applyAlignment="1" applyProtection="1">
      <alignment horizontal="right" vertical="center"/>
    </xf>
    <xf numFmtId="4" fontId="16" fillId="0" borderId="18" xfId="0" applyNumberFormat="1" applyFont="1" applyFill="1" applyBorder="1" applyAlignment="1" applyProtection="1">
      <alignment horizontal="right" vertical="center"/>
    </xf>
    <xf numFmtId="0" fontId="2" fillId="0" borderId="24" xfId="0" applyNumberFormat="1" applyFont="1" applyFill="1" applyBorder="1" applyAlignment="1" applyProtection="1">
      <alignment vertical="center"/>
    </xf>
    <xf numFmtId="4" fontId="15" fillId="3" borderId="4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/>
    <xf numFmtId="49" fontId="2" fillId="4" borderId="43" xfId="0" applyNumberFormat="1" applyFont="1" applyFill="1" applyBorder="1" applyAlignment="1" applyProtection="1">
      <alignment horizontal="left" vertical="center"/>
    </xf>
    <xf numFmtId="4" fontId="2" fillId="4" borderId="43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6" fillId="5" borderId="44" xfId="0" applyNumberFormat="1" applyFont="1" applyFill="1" applyBorder="1" applyAlignment="1" applyProtection="1">
      <alignment horizontal="left" vertical="center"/>
    </xf>
    <xf numFmtId="0" fontId="2" fillId="5" borderId="43" xfId="0" applyNumberFormat="1" applyFont="1" applyFill="1" applyBorder="1" applyAlignment="1" applyProtection="1">
      <alignment vertical="center"/>
    </xf>
    <xf numFmtId="0" fontId="1" fillId="5" borderId="43" xfId="1" applyNumberFormat="1" applyFont="1" applyFill="1" applyBorder="1" applyAlignment="1" applyProtection="1"/>
    <xf numFmtId="49" fontId="12" fillId="5" borderId="43" xfId="0" applyNumberFormat="1" applyFont="1" applyFill="1" applyBorder="1" applyAlignment="1" applyProtection="1">
      <alignment horizontal="left" vertical="center"/>
    </xf>
    <xf numFmtId="4" fontId="6" fillId="5" borderId="44" xfId="0" applyNumberFormat="1" applyFont="1" applyFill="1" applyBorder="1" applyAlignment="1" applyProtection="1">
      <alignment horizontal="right" vertical="center"/>
    </xf>
    <xf numFmtId="4" fontId="12" fillId="5" borderId="43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horizontal="right" vertical="top"/>
    </xf>
    <xf numFmtId="4" fontId="6" fillId="0" borderId="0" xfId="0" applyNumberFormat="1" applyFont="1" applyFill="1" applyBorder="1" applyAlignment="1" applyProtection="1">
      <alignment horizontal="right" vertical="center"/>
    </xf>
    <xf numFmtId="49" fontId="4" fillId="0" borderId="9" xfId="0" applyNumberFormat="1" applyFont="1" applyFill="1" applyBorder="1" applyAlignment="1" applyProtection="1">
      <alignment horizontal="left" vertical="center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Alignment="1">
      <alignment vertical="center"/>
    </xf>
    <xf numFmtId="49" fontId="20" fillId="4" borderId="43" xfId="0" applyNumberFormat="1" applyFont="1" applyFill="1" applyBorder="1" applyAlignment="1" applyProtection="1">
      <alignment horizontal="left" vertical="center"/>
    </xf>
    <xf numFmtId="49" fontId="21" fillId="0" borderId="3" xfId="0" applyNumberFormat="1" applyFont="1" applyFill="1" applyBorder="1" applyAlignment="1" applyProtection="1">
      <alignment horizontal="left" vertical="center"/>
    </xf>
    <xf numFmtId="49" fontId="20" fillId="0" borderId="3" xfId="0" applyNumberFormat="1" applyFont="1" applyFill="1" applyBorder="1" applyAlignment="1" applyProtection="1">
      <alignment horizontal="left" vertical="center"/>
    </xf>
    <xf numFmtId="49" fontId="20" fillId="0" borderId="0" xfId="0" applyNumberFormat="1" applyFont="1" applyFill="1" applyBorder="1" applyAlignment="1" applyProtection="1">
      <alignment horizontal="left" vertical="center"/>
    </xf>
    <xf numFmtId="49" fontId="19" fillId="2" borderId="0" xfId="0" applyNumberFormat="1" applyFont="1" applyFill="1" applyBorder="1" applyAlignment="1" applyProtection="1">
      <alignment horizontal="left" vertical="center"/>
    </xf>
    <xf numFmtId="4" fontId="18" fillId="0" borderId="9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/>
    </xf>
    <xf numFmtId="4" fontId="6" fillId="0" borderId="22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4" fontId="8" fillId="2" borderId="22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22" xfId="0" applyNumberFormat="1" applyFont="1" applyFill="1" applyBorder="1" applyAlignment="1" applyProtection="1">
      <alignment horizontal="left" vertical="center"/>
    </xf>
    <xf numFmtId="49" fontId="5" fillId="0" borderId="0" xfId="3" applyNumberFormat="1" applyFont="1" applyFill="1" applyBorder="1" applyAlignment="1" applyProtection="1">
      <alignment horizontal="left" vertical="center" wrapText="1"/>
    </xf>
    <xf numFmtId="49" fontId="4" fillId="0" borderId="45" xfId="0" applyNumberFormat="1" applyFont="1" applyFill="1" applyBorder="1" applyAlignment="1" applyProtection="1">
      <alignment horizontal="left" vertical="center"/>
    </xf>
    <xf numFmtId="49" fontId="4" fillId="0" borderId="45" xfId="0" applyNumberFormat="1" applyFont="1" applyFill="1" applyBorder="1" applyAlignment="1" applyProtection="1">
      <alignment horizontal="center" vertical="center"/>
    </xf>
    <xf numFmtId="49" fontId="4" fillId="0" borderId="46" xfId="0" applyNumberFormat="1" applyFont="1" applyFill="1" applyBorder="1" applyAlignment="1" applyProtection="1">
      <alignment horizontal="center" vertical="center"/>
    </xf>
    <xf numFmtId="2" fontId="8" fillId="2" borderId="0" xfId="0" applyNumberFormat="1" applyFont="1" applyFill="1" applyBorder="1" applyAlignment="1" applyProtection="1">
      <alignment horizontal="right" vertical="center"/>
    </xf>
    <xf numFmtId="2" fontId="8" fillId="2" borderId="0" xfId="0" applyNumberFormat="1" applyFont="1" applyFill="1" applyBorder="1" applyAlignment="1" applyProtection="1">
      <alignment horizontal="left" vertical="center"/>
    </xf>
    <xf numFmtId="2" fontId="8" fillId="2" borderId="22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6" fillId="0" borderId="0" xfId="0" applyNumberFormat="1" applyFont="1" applyFill="1" applyBorder="1" applyAlignment="1" applyProtection="1">
      <alignment vertical="center"/>
    </xf>
    <xf numFmtId="4" fontId="6" fillId="0" borderId="0" xfId="0" applyNumberFormat="1" applyFont="1" applyFill="1" applyBorder="1" applyAlignment="1" applyProtection="1">
      <alignment horizontal="right" vertical="center"/>
      <protection locked="0"/>
    </xf>
    <xf numFmtId="4" fontId="2" fillId="4" borderId="43" xfId="0" applyNumberFormat="1" applyFont="1" applyFill="1" applyBorder="1" applyAlignment="1" applyProtection="1">
      <alignment horizontal="right" vertical="center"/>
      <protection locked="0"/>
    </xf>
    <xf numFmtId="4" fontId="2" fillId="0" borderId="0" xfId="0" applyNumberFormat="1" applyFont="1" applyFill="1" applyBorder="1" applyAlignment="1" applyProtection="1">
      <alignment horizontal="right" vertical="center"/>
      <protection locked="0"/>
    </xf>
    <xf numFmtId="2" fontId="1" fillId="0" borderId="0" xfId="0" applyNumberFormat="1" applyFont="1" applyFill="1" applyBorder="1" applyAlignment="1" applyProtection="1">
      <alignment horizontal="right" vertical="center"/>
      <protection locked="0"/>
    </xf>
    <xf numFmtId="4" fontId="6" fillId="5" borderId="44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</xf>
    <xf numFmtId="49" fontId="23" fillId="0" borderId="22" xfId="0" applyNumberFormat="1" applyFont="1" applyFill="1" applyBorder="1" applyAlignment="1" applyProtection="1">
      <alignment horizontal="left" vertical="center"/>
    </xf>
    <xf numFmtId="49" fontId="4" fillId="0" borderId="21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/>
    </xf>
    <xf numFmtId="0" fontId="9" fillId="0" borderId="22" xfId="0" applyNumberFormat="1" applyFont="1" applyFill="1" applyBorder="1" applyAlignment="1" applyProtection="1">
      <alignment horizontal="left" vertical="top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horizontal="left" vertical="center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49" fontId="4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4" fillId="0" borderId="9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49" fontId="16" fillId="0" borderId="26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31" xfId="0" applyNumberFormat="1" applyFont="1" applyFill="1" applyBorder="1" applyAlignment="1" applyProtection="1">
      <alignment horizontal="left" vertical="center"/>
    </xf>
    <xf numFmtId="49" fontId="16" fillId="0" borderId="40" xfId="0" applyNumberFormat="1" applyFont="1" applyFill="1" applyBorder="1" applyAlignment="1" applyProtection="1">
      <alignment horizontal="left" vertical="center"/>
    </xf>
    <xf numFmtId="0" fontId="16" fillId="0" borderId="10" xfId="0" applyNumberFormat="1" applyFont="1" applyFill="1" applyBorder="1" applyAlignment="1" applyProtection="1">
      <alignment horizontal="left" vertical="center"/>
    </xf>
    <xf numFmtId="0" fontId="16" fillId="0" borderId="42" xfId="0" applyNumberFormat="1" applyFont="1" applyFill="1" applyBorder="1" applyAlignment="1" applyProtection="1">
      <alignment horizontal="left" vertical="center"/>
    </xf>
    <xf numFmtId="49" fontId="15" fillId="3" borderId="38" xfId="0" applyNumberFormat="1" applyFont="1" applyFill="1" applyBorder="1" applyAlignment="1" applyProtection="1">
      <alignment horizontal="left" vertical="center"/>
    </xf>
    <xf numFmtId="0" fontId="15" fillId="3" borderId="34" xfId="0" applyNumberFormat="1" applyFont="1" applyFill="1" applyBorder="1" applyAlignment="1" applyProtection="1">
      <alignment horizontal="left" vertical="center"/>
    </xf>
    <xf numFmtId="49" fontId="16" fillId="0" borderId="33" xfId="0" applyNumberFormat="1" applyFont="1" applyFill="1" applyBorder="1" applyAlignment="1" applyProtection="1">
      <alignment horizontal="left" vertical="center"/>
    </xf>
    <xf numFmtId="0" fontId="16" fillId="0" borderId="13" xfId="0" applyNumberFormat="1" applyFont="1" applyFill="1" applyBorder="1" applyAlignment="1" applyProtection="1">
      <alignment horizontal="left" vertical="center"/>
    </xf>
    <xf numFmtId="0" fontId="16" fillId="0" borderId="32" xfId="0" applyNumberFormat="1" applyFont="1" applyFill="1" applyBorder="1" applyAlignment="1" applyProtection="1">
      <alignment horizontal="left" vertical="center"/>
    </xf>
    <xf numFmtId="49" fontId="15" fillId="0" borderId="38" xfId="0" applyNumberFormat="1" applyFont="1" applyFill="1" applyBorder="1" applyAlignment="1" applyProtection="1">
      <alignment horizontal="left" vertical="center"/>
    </xf>
    <xf numFmtId="0" fontId="15" fillId="0" borderId="41" xfId="0" applyNumberFormat="1" applyFont="1" applyFill="1" applyBorder="1" applyAlignment="1" applyProtection="1">
      <alignment horizontal="left" vertical="center"/>
    </xf>
    <xf numFmtId="49" fontId="16" fillId="0" borderId="38" xfId="0" applyNumberFormat="1" applyFont="1" applyFill="1" applyBorder="1" applyAlignment="1" applyProtection="1">
      <alignment horizontal="left" vertical="center"/>
    </xf>
    <xf numFmtId="0" fontId="16" fillId="0" borderId="41" xfId="0" applyNumberFormat="1" applyFont="1" applyFill="1" applyBorder="1" applyAlignment="1" applyProtection="1">
      <alignment horizontal="left" vertical="center"/>
    </xf>
    <xf numFmtId="49" fontId="13" fillId="0" borderId="34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Fill="1" applyBorder="1" applyAlignment="1" applyProtection="1">
      <alignment horizontal="center" vertical="center"/>
    </xf>
    <xf numFmtId="49" fontId="17" fillId="0" borderId="38" xfId="0" applyNumberFormat="1" applyFont="1" applyFill="1" applyBorder="1" applyAlignment="1" applyProtection="1">
      <alignment horizontal="left" vertical="center"/>
    </xf>
    <xf numFmtId="0" fontId="17" fillId="0" borderId="4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25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2" fillId="0" borderId="21" xfId="0" applyNumberFormat="1" applyFont="1" applyFill="1" applyBorder="1" applyAlignment="1" applyProtection="1">
      <alignment horizontal="left" vertical="center"/>
    </xf>
  </cellXfs>
  <cellStyles count="3">
    <cellStyle name="Chybně" xfId="2"/>
    <cellStyle name="Normální" xfId="0" builtinId="0"/>
    <cellStyle name="Normální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000000"/>
      <rgbColor rgb="00000000"/>
      <rgbColor rgb="00C0C0C0"/>
      <rgbColor rgb="00C0C0C0"/>
      <rgbColor rgb="000000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0000"/>
      <rgbColor rgb="00000000"/>
      <rgbColor rgb="0000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65"/>
  <sheetViews>
    <sheetView tabSelected="1" workbookViewId="0">
      <pane ySplit="11" topLeftCell="A57" activePane="bottomLeft" state="frozenSplit"/>
      <selection pane="bottomLeft" activeCell="H60" sqref="H60"/>
    </sheetView>
  </sheetViews>
  <sheetFormatPr defaultColWidth="11.5546875" defaultRowHeight="13.2" x14ac:dyDescent="0.25"/>
  <cols>
    <col min="1" max="1" width="3.6640625" customWidth="1"/>
    <col min="2" max="2" width="7.5546875" customWidth="1"/>
    <col min="3" max="3" width="14.33203125" customWidth="1"/>
    <col min="4" max="4" width="49.6640625" customWidth="1"/>
    <col min="5" max="5" width="6.44140625" customWidth="1"/>
    <col min="6" max="6" width="12.88671875" customWidth="1"/>
    <col min="7" max="7" width="12" customWidth="1"/>
    <col min="8" max="9" width="14.33203125" customWidth="1"/>
    <col min="10" max="10" width="14.109375" customWidth="1"/>
    <col min="11" max="12" width="11.6640625" customWidth="1"/>
    <col min="24" max="57" width="12.109375" hidden="1" customWidth="1"/>
    <col min="58" max="58" width="4.44140625" hidden="1" customWidth="1"/>
    <col min="59" max="62" width="12.109375" hidden="1" customWidth="1"/>
    <col min="63" max="63" width="12.44140625" hidden="1" customWidth="1"/>
  </cols>
  <sheetData>
    <row r="1" spans="1:63" ht="72.900000000000006" customHeight="1" x14ac:dyDescent="0.25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63" x14ac:dyDescent="0.25">
      <c r="A2" s="147" t="s">
        <v>1</v>
      </c>
      <c r="B2" s="148"/>
      <c r="C2" s="148"/>
      <c r="D2" s="149" t="s">
        <v>209</v>
      </c>
      <c r="E2" s="151" t="s">
        <v>67</v>
      </c>
      <c r="F2" s="148"/>
      <c r="G2" s="151" t="s">
        <v>6</v>
      </c>
      <c r="H2" s="152" t="s">
        <v>79</v>
      </c>
      <c r="I2" s="152" t="s">
        <v>86</v>
      </c>
      <c r="J2" s="148"/>
      <c r="K2" s="148"/>
      <c r="L2" s="148"/>
      <c r="M2" s="5"/>
    </row>
    <row r="3" spans="1:63" x14ac:dyDescent="0.25">
      <c r="A3" s="143"/>
      <c r="B3" s="130"/>
      <c r="C3" s="130"/>
      <c r="D3" s="150"/>
      <c r="E3" s="130"/>
      <c r="F3" s="130"/>
      <c r="G3" s="130"/>
      <c r="H3" s="130"/>
      <c r="I3" s="130"/>
      <c r="J3" s="130"/>
      <c r="K3" s="130"/>
      <c r="L3" s="130"/>
      <c r="M3" s="5"/>
    </row>
    <row r="4" spans="1:63" x14ac:dyDescent="0.25">
      <c r="A4" s="135" t="s">
        <v>2</v>
      </c>
      <c r="B4" s="130"/>
      <c r="C4" s="130"/>
      <c r="D4" s="129" t="s">
        <v>6</v>
      </c>
      <c r="E4" s="138" t="s">
        <v>68</v>
      </c>
      <c r="F4" s="130"/>
      <c r="G4" s="138" t="s">
        <v>6</v>
      </c>
      <c r="H4" s="129" t="s">
        <v>80</v>
      </c>
      <c r="I4" s="1" t="s">
        <v>87</v>
      </c>
      <c r="J4" s="130"/>
      <c r="K4" s="130"/>
      <c r="L4" s="144"/>
      <c r="M4" s="5"/>
    </row>
    <row r="5" spans="1:63" x14ac:dyDescent="0.25">
      <c r="A5" s="143"/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44"/>
      <c r="M5" s="5"/>
    </row>
    <row r="6" spans="1:63" x14ac:dyDescent="0.25">
      <c r="A6" s="135" t="s">
        <v>3</v>
      </c>
      <c r="B6" s="130"/>
      <c r="C6" s="130"/>
      <c r="D6" s="129" t="s">
        <v>36</v>
      </c>
      <c r="E6" s="138" t="s">
        <v>69</v>
      </c>
      <c r="F6" s="130"/>
      <c r="G6" s="138" t="s">
        <v>6</v>
      </c>
      <c r="H6" s="129" t="s">
        <v>81</v>
      </c>
      <c r="I6" s="129" t="s">
        <v>88</v>
      </c>
      <c r="J6" s="130"/>
      <c r="K6" s="130"/>
      <c r="L6" s="130"/>
      <c r="M6" s="5"/>
    </row>
    <row r="7" spans="1:63" x14ac:dyDescent="0.25">
      <c r="A7" s="143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5"/>
    </row>
    <row r="8" spans="1:63" x14ac:dyDescent="0.25">
      <c r="A8" s="135" t="s">
        <v>4</v>
      </c>
      <c r="B8" s="130"/>
      <c r="C8" s="130"/>
      <c r="D8" s="129" t="s">
        <v>6</v>
      </c>
      <c r="E8" s="138" t="s">
        <v>70</v>
      </c>
      <c r="F8" s="130"/>
      <c r="G8" s="138" t="s">
        <v>198</v>
      </c>
      <c r="H8" s="129" t="s">
        <v>82</v>
      </c>
      <c r="I8" s="129" t="s">
        <v>172</v>
      </c>
      <c r="J8" s="130"/>
      <c r="K8" s="130"/>
      <c r="L8" s="130"/>
      <c r="M8" s="5"/>
    </row>
    <row r="9" spans="1:63" ht="13.8" thickBot="1" x14ac:dyDescent="0.3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5"/>
    </row>
    <row r="10" spans="1:63" x14ac:dyDescent="0.25">
      <c r="A10" s="1" t="s">
        <v>5</v>
      </c>
      <c r="B10" s="10" t="s">
        <v>20</v>
      </c>
      <c r="C10" s="10" t="s">
        <v>21</v>
      </c>
      <c r="D10" s="104" t="s">
        <v>37</v>
      </c>
      <c r="E10" s="104" t="s">
        <v>71</v>
      </c>
      <c r="F10" s="105" t="s">
        <v>76</v>
      </c>
      <c r="G10" s="106" t="s">
        <v>77</v>
      </c>
      <c r="H10" s="139" t="s">
        <v>83</v>
      </c>
      <c r="I10" s="140"/>
      <c r="J10" s="141"/>
      <c r="K10" s="142" t="s">
        <v>91</v>
      </c>
      <c r="L10" s="141"/>
      <c r="M10" s="32"/>
      <c r="BJ10" s="30" t="s">
        <v>117</v>
      </c>
      <c r="BK10" s="36" t="s">
        <v>119</v>
      </c>
    </row>
    <row r="11" spans="1:63" x14ac:dyDescent="0.25">
      <c r="A11" s="2" t="s">
        <v>6</v>
      </c>
      <c r="B11" s="11" t="s">
        <v>6</v>
      </c>
      <c r="C11" s="11" t="s">
        <v>6</v>
      </c>
      <c r="D11" s="18" t="s">
        <v>38</v>
      </c>
      <c r="E11" s="11" t="s">
        <v>6</v>
      </c>
      <c r="F11" s="11" t="s">
        <v>6</v>
      </c>
      <c r="G11" s="25" t="s">
        <v>78</v>
      </c>
      <c r="H11" s="26" t="s">
        <v>84</v>
      </c>
      <c r="I11" s="27" t="s">
        <v>89</v>
      </c>
      <c r="J11" s="28" t="s">
        <v>90</v>
      </c>
      <c r="K11" s="26" t="s">
        <v>92</v>
      </c>
      <c r="L11" s="28" t="s">
        <v>90</v>
      </c>
      <c r="M11" s="32"/>
      <c r="Y11" s="30" t="s">
        <v>93</v>
      </c>
      <c r="Z11" s="30" t="s">
        <v>94</v>
      </c>
      <c r="AA11" s="30" t="s">
        <v>95</v>
      </c>
      <c r="AB11" s="30" t="s">
        <v>96</v>
      </c>
      <c r="AC11" s="30" t="s">
        <v>97</v>
      </c>
      <c r="AD11" s="30" t="s">
        <v>98</v>
      </c>
      <c r="AE11" s="30" t="s">
        <v>99</v>
      </c>
      <c r="AF11" s="30" t="s">
        <v>100</v>
      </c>
      <c r="AG11" s="30" t="s">
        <v>101</v>
      </c>
      <c r="BG11" s="30" t="s">
        <v>114</v>
      </c>
      <c r="BH11" s="30" t="s">
        <v>115</v>
      </c>
      <c r="BI11" s="30" t="s">
        <v>116</v>
      </c>
    </row>
    <row r="12" spans="1:63" x14ac:dyDescent="0.25">
      <c r="A12" s="3"/>
      <c r="B12" s="12"/>
      <c r="C12" s="12" t="s">
        <v>22</v>
      </c>
      <c r="D12" s="12" t="s">
        <v>39</v>
      </c>
      <c r="E12" s="21" t="s">
        <v>6</v>
      </c>
      <c r="F12" s="21" t="s">
        <v>6</v>
      </c>
      <c r="G12" s="21" t="s">
        <v>6</v>
      </c>
      <c r="H12" s="37">
        <f>SUM(H13:H25)</f>
        <v>0</v>
      </c>
      <c r="I12" s="37">
        <f>SUM(I13:I25)</f>
        <v>0</v>
      </c>
      <c r="J12" s="37">
        <f>SUM(J13:J25)</f>
        <v>0</v>
      </c>
      <c r="K12" s="29"/>
      <c r="L12" s="37">
        <f>SUM(L13:L25)</f>
        <v>0</v>
      </c>
      <c r="M12" s="5"/>
      <c r="AH12" s="30"/>
      <c r="AR12" s="38">
        <f>SUM(AI13:AI25)</f>
        <v>0</v>
      </c>
      <c r="AS12" s="38">
        <f>SUM(AJ13:AJ25)</f>
        <v>0</v>
      </c>
      <c r="AT12" s="38">
        <f>SUM(AK13:AK25)</f>
        <v>0</v>
      </c>
    </row>
    <row r="13" spans="1:63" x14ac:dyDescent="0.25">
      <c r="A13" s="4" t="s">
        <v>7</v>
      </c>
      <c r="B13" s="13"/>
      <c r="C13" s="13" t="s">
        <v>23</v>
      </c>
      <c r="D13" s="13" t="s">
        <v>40</v>
      </c>
      <c r="E13" s="13" t="s">
        <v>72</v>
      </c>
      <c r="F13" s="23">
        <v>1</v>
      </c>
      <c r="G13" s="120"/>
      <c r="H13" s="23">
        <f>F13*AN13</f>
        <v>0</v>
      </c>
      <c r="I13" s="23">
        <f>F13*AO13</f>
        <v>0</v>
      </c>
      <c r="J13" s="23">
        <f>F13*G13</f>
        <v>0</v>
      </c>
      <c r="K13" s="23">
        <v>0</v>
      </c>
      <c r="L13" s="23">
        <f>F13*K13</f>
        <v>0</v>
      </c>
      <c r="M13" s="5"/>
      <c r="Y13" s="33">
        <f>IF(AP13="5",BI13,0)</f>
        <v>0</v>
      </c>
      <c r="AA13" s="33">
        <f>IF(AP13="1",BG13,0)</f>
        <v>0</v>
      </c>
      <c r="AB13" s="33">
        <f>IF(AP13="1",BH13,0)</f>
        <v>0</v>
      </c>
      <c r="AC13" s="33">
        <f>IF(AP13="7",BG13,0)</f>
        <v>0</v>
      </c>
      <c r="AD13" s="33">
        <f>IF(AP13="7",BH13,0)</f>
        <v>0</v>
      </c>
      <c r="AE13" s="33">
        <f>IF(AP13="2",BG13,0)</f>
        <v>0</v>
      </c>
      <c r="AF13" s="33">
        <f>IF(AP13="2",BH13,0)</f>
        <v>0</v>
      </c>
      <c r="AG13" s="33">
        <f>IF(AP13="0",BI13,0)</f>
        <v>0</v>
      </c>
      <c r="AH13" s="30"/>
      <c r="AI13" s="23">
        <f>IF(AM13=0,J13,0)</f>
        <v>0</v>
      </c>
      <c r="AJ13" s="23">
        <f>IF(AM13=15,J13,0)</f>
        <v>0</v>
      </c>
      <c r="AK13" s="23">
        <f>IF(AM13=21,J13,0)</f>
        <v>0</v>
      </c>
      <c r="AM13" s="33">
        <v>21</v>
      </c>
      <c r="AN13" s="33">
        <f>G13*0</f>
        <v>0</v>
      </c>
      <c r="AO13" s="33">
        <f>G13*(1-0)</f>
        <v>0</v>
      </c>
      <c r="AP13" s="34" t="s">
        <v>7</v>
      </c>
      <c r="AU13" s="33">
        <f>AV13+AW13</f>
        <v>0</v>
      </c>
      <c r="AV13" s="33">
        <f>F13*AN13</f>
        <v>0</v>
      </c>
      <c r="AW13" s="33">
        <f>F13*AO13</f>
        <v>0</v>
      </c>
      <c r="AX13" s="35" t="s">
        <v>102</v>
      </c>
      <c r="AY13" s="35" t="s">
        <v>109</v>
      </c>
      <c r="AZ13" s="30" t="s">
        <v>113</v>
      </c>
      <c r="BB13" s="33">
        <f>AV13+AW13</f>
        <v>0</v>
      </c>
      <c r="BC13" s="33">
        <f>G13/(100-BD13)*100</f>
        <v>0</v>
      </c>
      <c r="BD13" s="33">
        <v>0</v>
      </c>
      <c r="BE13" s="33">
        <f>L13</f>
        <v>0</v>
      </c>
      <c r="BG13" s="23">
        <f>F13*AN13</f>
        <v>0</v>
      </c>
      <c r="BH13" s="23">
        <f>F13*AO13</f>
        <v>0</v>
      </c>
      <c r="BI13" s="23">
        <f>F13*G13</f>
        <v>0</v>
      </c>
      <c r="BJ13" s="23" t="s">
        <v>118</v>
      </c>
      <c r="BK13" s="33" t="s">
        <v>22</v>
      </c>
    </row>
    <row r="14" spans="1:63" ht="57" customHeight="1" x14ac:dyDescent="0.25">
      <c r="A14" s="5"/>
      <c r="C14" s="16" t="s">
        <v>18</v>
      </c>
      <c r="D14" s="132" t="s">
        <v>177</v>
      </c>
      <c r="E14" s="133"/>
      <c r="F14" s="133"/>
      <c r="G14" s="133"/>
      <c r="H14" s="133"/>
      <c r="I14" s="133"/>
      <c r="J14" s="133"/>
      <c r="K14" s="133"/>
      <c r="L14" s="133"/>
      <c r="M14" s="5"/>
    </row>
    <row r="15" spans="1:63" x14ac:dyDescent="0.25">
      <c r="A15" s="4" t="s">
        <v>8</v>
      </c>
      <c r="B15" s="13"/>
      <c r="C15" s="13" t="s">
        <v>23</v>
      </c>
      <c r="D15" s="13" t="s">
        <v>41</v>
      </c>
      <c r="E15" s="13" t="s">
        <v>72</v>
      </c>
      <c r="F15" s="23">
        <v>1</v>
      </c>
      <c r="G15" s="120"/>
      <c r="H15" s="23">
        <f>F15*AN15</f>
        <v>0</v>
      </c>
      <c r="I15" s="23">
        <f>F15*AO15</f>
        <v>0</v>
      </c>
      <c r="J15" s="23">
        <f>F15*G15</f>
        <v>0</v>
      </c>
      <c r="K15" s="23">
        <v>0</v>
      </c>
      <c r="L15" s="23">
        <f>F15*K15</f>
        <v>0</v>
      </c>
      <c r="M15" s="5"/>
      <c r="Y15" s="33">
        <f>IF(AP15="5",BI15,0)</f>
        <v>0</v>
      </c>
      <c r="AA15" s="33">
        <f>IF(AP15="1",BG15,0)</f>
        <v>0</v>
      </c>
      <c r="AB15" s="33">
        <f>IF(AP15="1",BH15,0)</f>
        <v>0</v>
      </c>
      <c r="AC15" s="33">
        <f>IF(AP15="7",BG15,0)</f>
        <v>0</v>
      </c>
      <c r="AD15" s="33">
        <f>IF(AP15="7",BH15,0)</f>
        <v>0</v>
      </c>
      <c r="AE15" s="33">
        <f>IF(AP15="2",BG15,0)</f>
        <v>0</v>
      </c>
      <c r="AF15" s="33">
        <f>IF(AP15="2",BH15,0)</f>
        <v>0</v>
      </c>
      <c r="AG15" s="33">
        <f>IF(AP15="0",BI15,0)</f>
        <v>0</v>
      </c>
      <c r="AH15" s="30"/>
      <c r="AI15" s="23">
        <f>IF(AM15=0,J15,0)</f>
        <v>0</v>
      </c>
      <c r="AJ15" s="23">
        <f>IF(AM15=15,J15,0)</f>
        <v>0</v>
      </c>
      <c r="AK15" s="23">
        <f>IF(AM15=21,J15,0)</f>
        <v>0</v>
      </c>
      <c r="AM15" s="33">
        <v>21</v>
      </c>
      <c r="AN15" s="33">
        <f>G15*0</f>
        <v>0</v>
      </c>
      <c r="AO15" s="33">
        <f>G15*(1-0)</f>
        <v>0</v>
      </c>
      <c r="AP15" s="34" t="s">
        <v>7</v>
      </c>
      <c r="AU15" s="33">
        <f>AV15+AW15</f>
        <v>0</v>
      </c>
      <c r="AV15" s="33">
        <f>F15*AN15</f>
        <v>0</v>
      </c>
      <c r="AW15" s="33">
        <f>F15*AO15</f>
        <v>0</v>
      </c>
      <c r="AX15" s="35" t="s">
        <v>102</v>
      </c>
      <c r="AY15" s="35" t="s">
        <v>109</v>
      </c>
      <c r="AZ15" s="30" t="s">
        <v>113</v>
      </c>
      <c r="BB15" s="33">
        <f>AV15+AW15</f>
        <v>0</v>
      </c>
      <c r="BC15" s="33">
        <f>G15/(100-BD15)*100</f>
        <v>0</v>
      </c>
      <c r="BD15" s="33">
        <v>0</v>
      </c>
      <c r="BE15" s="33">
        <f>L15</f>
        <v>0</v>
      </c>
      <c r="BG15" s="23">
        <f>F15*AN15</f>
        <v>0</v>
      </c>
      <c r="BH15" s="23">
        <f>F15*AO15</f>
        <v>0</v>
      </c>
      <c r="BI15" s="23">
        <f>F15*G15</f>
        <v>0</v>
      </c>
      <c r="BJ15" s="23" t="s">
        <v>118</v>
      </c>
      <c r="BK15" s="33" t="s">
        <v>22</v>
      </c>
    </row>
    <row r="16" spans="1:63" x14ac:dyDescent="0.25">
      <c r="A16" s="5"/>
      <c r="C16" s="16" t="s">
        <v>18</v>
      </c>
      <c r="D16" s="132" t="s">
        <v>42</v>
      </c>
      <c r="E16" s="133"/>
      <c r="F16" s="133"/>
      <c r="G16" s="133"/>
      <c r="H16" s="133"/>
      <c r="I16" s="133"/>
      <c r="J16" s="133"/>
      <c r="K16" s="133"/>
      <c r="L16" s="133"/>
      <c r="M16" s="5"/>
    </row>
    <row r="17" spans="1:63" x14ac:dyDescent="0.25">
      <c r="A17" s="4" t="s">
        <v>9</v>
      </c>
      <c r="B17" s="13"/>
      <c r="C17" s="13" t="s">
        <v>23</v>
      </c>
      <c r="D17" s="13" t="s">
        <v>43</v>
      </c>
      <c r="E17" s="13" t="s">
        <v>72</v>
      </c>
      <c r="F17" s="23">
        <v>1</v>
      </c>
      <c r="G17" s="120"/>
      <c r="H17" s="23">
        <f>F17*AN17</f>
        <v>0</v>
      </c>
      <c r="I17" s="23">
        <f>F17*AO17</f>
        <v>0</v>
      </c>
      <c r="J17" s="23">
        <f>F17*G17</f>
        <v>0</v>
      </c>
      <c r="K17" s="23">
        <v>0</v>
      </c>
      <c r="L17" s="23">
        <f>F17*K17</f>
        <v>0</v>
      </c>
      <c r="M17" s="5"/>
      <c r="Y17" s="33">
        <f>IF(AP17="5",BI17,0)</f>
        <v>0</v>
      </c>
      <c r="AA17" s="33">
        <f>IF(AP17="1",BG17,0)</f>
        <v>0</v>
      </c>
      <c r="AB17" s="33">
        <f>IF(AP17="1",BH17,0)</f>
        <v>0</v>
      </c>
      <c r="AC17" s="33">
        <f>IF(AP17="7",BG17,0)</f>
        <v>0</v>
      </c>
      <c r="AD17" s="33">
        <f>IF(AP17="7",BH17,0)</f>
        <v>0</v>
      </c>
      <c r="AE17" s="33">
        <f>IF(AP17="2",BG17,0)</f>
        <v>0</v>
      </c>
      <c r="AF17" s="33">
        <f>IF(AP17="2",BH17,0)</f>
        <v>0</v>
      </c>
      <c r="AG17" s="33">
        <f>IF(AP17="0",BI17,0)</f>
        <v>0</v>
      </c>
      <c r="AH17" s="30"/>
      <c r="AI17" s="23">
        <f>IF(AM17=0,J17,0)</f>
        <v>0</v>
      </c>
      <c r="AJ17" s="23">
        <f>IF(AM17=15,J17,0)</f>
        <v>0</v>
      </c>
      <c r="AK17" s="23">
        <f>IF(AM17=21,J17,0)</f>
        <v>0</v>
      </c>
      <c r="AM17" s="33">
        <v>21</v>
      </c>
      <c r="AN17" s="33">
        <f>G17*0</f>
        <v>0</v>
      </c>
      <c r="AO17" s="33">
        <f>G17*(1-0)</f>
        <v>0</v>
      </c>
      <c r="AP17" s="34" t="s">
        <v>7</v>
      </c>
      <c r="AU17" s="33">
        <f>AV17+AW17</f>
        <v>0</v>
      </c>
      <c r="AV17" s="33">
        <f>F17*AN17</f>
        <v>0</v>
      </c>
      <c r="AW17" s="33">
        <f>F17*AO17</f>
        <v>0</v>
      </c>
      <c r="AX17" s="35" t="s">
        <v>102</v>
      </c>
      <c r="AY17" s="35" t="s">
        <v>109</v>
      </c>
      <c r="AZ17" s="30" t="s">
        <v>113</v>
      </c>
      <c r="BB17" s="33">
        <f>AV17+AW17</f>
        <v>0</v>
      </c>
      <c r="BC17" s="33">
        <f>G17/(100-BD17)*100</f>
        <v>0</v>
      </c>
      <c r="BD17" s="33">
        <v>0</v>
      </c>
      <c r="BE17" s="33">
        <f>L17</f>
        <v>0</v>
      </c>
      <c r="BG17" s="23">
        <f>F17*AN17</f>
        <v>0</v>
      </c>
      <c r="BH17" s="23">
        <f>F17*AO17</f>
        <v>0</v>
      </c>
      <c r="BI17" s="23">
        <f>F17*G17</f>
        <v>0</v>
      </c>
      <c r="BJ17" s="23" t="s">
        <v>118</v>
      </c>
      <c r="BK17" s="33" t="s">
        <v>22</v>
      </c>
    </row>
    <row r="18" spans="1:63" ht="25.65" customHeight="1" x14ac:dyDescent="0.25">
      <c r="A18" s="5"/>
      <c r="C18" s="16" t="s">
        <v>18</v>
      </c>
      <c r="D18" s="132" t="s">
        <v>44</v>
      </c>
      <c r="E18" s="133"/>
      <c r="F18" s="133"/>
      <c r="G18" s="133"/>
      <c r="H18" s="133"/>
      <c r="I18" s="133"/>
      <c r="J18" s="133"/>
      <c r="K18" s="133"/>
      <c r="L18" s="133"/>
      <c r="M18" s="5"/>
    </row>
    <row r="19" spans="1:63" x14ac:dyDescent="0.25">
      <c r="A19" s="4" t="s">
        <v>10</v>
      </c>
      <c r="B19" s="13"/>
      <c r="C19" s="13" t="s">
        <v>23</v>
      </c>
      <c r="D19" s="13" t="s">
        <v>45</v>
      </c>
      <c r="E19" s="13" t="s">
        <v>72</v>
      </c>
      <c r="F19" s="23">
        <v>1</v>
      </c>
      <c r="G19" s="120"/>
      <c r="H19" s="23">
        <f>F19*AN19</f>
        <v>0</v>
      </c>
      <c r="I19" s="23">
        <f>F19*AO19</f>
        <v>0</v>
      </c>
      <c r="J19" s="23">
        <f>F19*G19</f>
        <v>0</v>
      </c>
      <c r="K19" s="23">
        <v>0</v>
      </c>
      <c r="L19" s="23">
        <f>F19*K19</f>
        <v>0</v>
      </c>
      <c r="M19" s="5"/>
      <c r="Y19" s="33">
        <f>IF(AP19="5",BI19,0)</f>
        <v>0</v>
      </c>
      <c r="AA19" s="33">
        <f>IF(AP19="1",BG19,0)</f>
        <v>0</v>
      </c>
      <c r="AB19" s="33">
        <f>IF(AP19="1",BH19,0)</f>
        <v>0</v>
      </c>
      <c r="AC19" s="33">
        <f>IF(AP19="7",BG19,0)</f>
        <v>0</v>
      </c>
      <c r="AD19" s="33">
        <f>IF(AP19="7",BH19,0)</f>
        <v>0</v>
      </c>
      <c r="AE19" s="33">
        <f>IF(AP19="2",BG19,0)</f>
        <v>0</v>
      </c>
      <c r="AF19" s="33">
        <f>IF(AP19="2",BH19,0)</f>
        <v>0</v>
      </c>
      <c r="AG19" s="33">
        <f>IF(AP19="0",BI19,0)</f>
        <v>0</v>
      </c>
      <c r="AH19" s="30"/>
      <c r="AI19" s="23">
        <f>IF(AM19=0,J19,0)</f>
        <v>0</v>
      </c>
      <c r="AJ19" s="23">
        <f>IF(AM19=15,J19,0)</f>
        <v>0</v>
      </c>
      <c r="AK19" s="23">
        <f>IF(AM19=21,J19,0)</f>
        <v>0</v>
      </c>
      <c r="AM19" s="33">
        <v>21</v>
      </c>
      <c r="AN19" s="33">
        <f>G19*0</f>
        <v>0</v>
      </c>
      <c r="AO19" s="33">
        <f>G19*(1-0)</f>
        <v>0</v>
      </c>
      <c r="AP19" s="34" t="s">
        <v>7</v>
      </c>
      <c r="AU19" s="33">
        <f>AV19+AW19</f>
        <v>0</v>
      </c>
      <c r="AV19" s="33">
        <f>F19*AN19</f>
        <v>0</v>
      </c>
      <c r="AW19" s="33">
        <f>F19*AO19</f>
        <v>0</v>
      </c>
      <c r="AX19" s="35" t="s">
        <v>102</v>
      </c>
      <c r="AY19" s="35" t="s">
        <v>109</v>
      </c>
      <c r="AZ19" s="30" t="s">
        <v>113</v>
      </c>
      <c r="BB19" s="33">
        <f>AV19+AW19</f>
        <v>0</v>
      </c>
      <c r="BC19" s="33">
        <f>G19/(100-BD19)*100</f>
        <v>0</v>
      </c>
      <c r="BD19" s="33">
        <v>0</v>
      </c>
      <c r="BE19" s="33">
        <f>L19</f>
        <v>0</v>
      </c>
      <c r="BG19" s="23">
        <f>F19*AN19</f>
        <v>0</v>
      </c>
      <c r="BH19" s="23">
        <f>F19*AO19</f>
        <v>0</v>
      </c>
      <c r="BI19" s="23">
        <f>F19*G19</f>
        <v>0</v>
      </c>
      <c r="BJ19" s="23" t="s">
        <v>118</v>
      </c>
      <c r="BK19" s="33" t="s">
        <v>22</v>
      </c>
    </row>
    <row r="20" spans="1:63" x14ac:dyDescent="0.25">
      <c r="A20" s="5"/>
      <c r="C20" s="16" t="s">
        <v>18</v>
      </c>
      <c r="D20" s="132" t="s">
        <v>46</v>
      </c>
      <c r="E20" s="133"/>
      <c r="F20" s="133"/>
      <c r="G20" s="133"/>
      <c r="H20" s="133"/>
      <c r="I20" s="133"/>
      <c r="J20" s="133"/>
      <c r="K20" s="133"/>
      <c r="L20" s="133"/>
      <c r="M20" s="5"/>
    </row>
    <row r="21" spans="1:63" x14ac:dyDescent="0.25">
      <c r="A21" s="87" t="s">
        <v>11</v>
      </c>
      <c r="B21" s="70"/>
      <c r="C21" s="70" t="s">
        <v>23</v>
      </c>
      <c r="D21" s="70" t="s">
        <v>47</v>
      </c>
      <c r="E21" s="70" t="s">
        <v>72</v>
      </c>
      <c r="F21" s="71">
        <v>1</v>
      </c>
      <c r="G21" s="121"/>
      <c r="H21" s="71">
        <f>F21*AN21</f>
        <v>0</v>
      </c>
      <c r="I21" s="71">
        <f>F21*AO21</f>
        <v>0</v>
      </c>
      <c r="J21" s="71">
        <f>F21*G21</f>
        <v>0</v>
      </c>
      <c r="K21" s="71">
        <v>0</v>
      </c>
      <c r="L21" s="71">
        <f>F21*K21</f>
        <v>0</v>
      </c>
      <c r="M21" s="72"/>
      <c r="Y21" s="33">
        <f>IF(AP21="5",BI21,0)</f>
        <v>0</v>
      </c>
      <c r="AA21" s="33">
        <f>IF(AP21="1",BG21,0)</f>
        <v>0</v>
      </c>
      <c r="AB21" s="33">
        <f>IF(AP21="1",BH21,0)</f>
        <v>0</v>
      </c>
      <c r="AC21" s="33">
        <f>IF(AP21="7",BG21,0)</f>
        <v>0</v>
      </c>
      <c r="AD21" s="33">
        <f>IF(AP21="7",BH21,0)</f>
        <v>0</v>
      </c>
      <c r="AE21" s="33">
        <f>IF(AP21="2",BG21,0)</f>
        <v>0</v>
      </c>
      <c r="AF21" s="33">
        <f>IF(AP21="2",BH21,0)</f>
        <v>0</v>
      </c>
      <c r="AG21" s="33">
        <f>IF(AP21="0",BI21,0)</f>
        <v>0</v>
      </c>
      <c r="AH21" s="30"/>
      <c r="AI21" s="23">
        <f>IF(AM21=0,J21,0)</f>
        <v>0</v>
      </c>
      <c r="AJ21" s="23">
        <f>IF(AM21=15,J21,0)</f>
        <v>0</v>
      </c>
      <c r="AK21" s="23">
        <f>IF(AM21=21,J21,0)</f>
        <v>0</v>
      </c>
      <c r="AM21" s="33">
        <v>21</v>
      </c>
      <c r="AN21" s="33">
        <f>G21*0</f>
        <v>0</v>
      </c>
      <c r="AO21" s="33">
        <f>G21*(1-0)</f>
        <v>0</v>
      </c>
      <c r="AP21" s="34" t="s">
        <v>7</v>
      </c>
      <c r="AU21" s="33">
        <f>AV21+AW21</f>
        <v>0</v>
      </c>
      <c r="AV21" s="33">
        <f>F21*AN21</f>
        <v>0</v>
      </c>
      <c r="AW21" s="33">
        <f>F21*AO21</f>
        <v>0</v>
      </c>
      <c r="AX21" s="35" t="s">
        <v>102</v>
      </c>
      <c r="AY21" s="35" t="s">
        <v>109</v>
      </c>
      <c r="AZ21" s="30" t="s">
        <v>113</v>
      </c>
      <c r="BB21" s="33">
        <f>AV21+AW21</f>
        <v>0</v>
      </c>
      <c r="BC21" s="33">
        <f>G21/(100-BD21)*100</f>
        <v>0</v>
      </c>
      <c r="BD21" s="33">
        <v>0</v>
      </c>
      <c r="BE21" s="33">
        <f>L21</f>
        <v>0</v>
      </c>
      <c r="BG21" s="23">
        <f>F21*AN21</f>
        <v>0</v>
      </c>
      <c r="BH21" s="23">
        <f>F21*AO21</f>
        <v>0</v>
      </c>
      <c r="BI21" s="23">
        <f>F21*G21</f>
        <v>0</v>
      </c>
      <c r="BJ21" s="23" t="s">
        <v>118</v>
      </c>
      <c r="BK21" s="33" t="s">
        <v>22</v>
      </c>
    </row>
    <row r="22" spans="1:63" x14ac:dyDescent="0.25">
      <c r="A22" s="5"/>
      <c r="C22" s="16" t="s">
        <v>18</v>
      </c>
      <c r="D22" s="132" t="s">
        <v>48</v>
      </c>
      <c r="E22" s="133"/>
      <c r="F22" s="133"/>
      <c r="G22" s="133"/>
      <c r="H22" s="133"/>
      <c r="I22" s="133"/>
      <c r="J22" s="133"/>
      <c r="K22" s="133"/>
      <c r="L22" s="133"/>
      <c r="M22" s="5"/>
    </row>
    <row r="23" spans="1:63" x14ac:dyDescent="0.25">
      <c r="A23" s="88" t="s">
        <v>12</v>
      </c>
      <c r="B23" s="13"/>
      <c r="C23" s="13" t="s">
        <v>23</v>
      </c>
      <c r="D23" s="13" t="s">
        <v>49</v>
      </c>
      <c r="E23" s="13" t="s">
        <v>72</v>
      </c>
      <c r="F23" s="23">
        <v>1</v>
      </c>
      <c r="G23" s="120"/>
      <c r="H23" s="23">
        <f>F23*AN23</f>
        <v>0</v>
      </c>
      <c r="I23" s="23">
        <f>F23*AO23</f>
        <v>0</v>
      </c>
      <c r="J23" s="23">
        <f>F23*G23</f>
        <v>0</v>
      </c>
      <c r="K23" s="23">
        <v>0</v>
      </c>
      <c r="L23" s="23">
        <f>F23*K23</f>
        <v>0</v>
      </c>
      <c r="M23" s="5"/>
      <c r="Y23" s="33">
        <f>IF(AP23="5",BI23,0)</f>
        <v>0</v>
      </c>
      <c r="AA23" s="33">
        <f>IF(AP23="1",BG23,0)</f>
        <v>0</v>
      </c>
      <c r="AB23" s="33">
        <f>IF(AP23="1",BH23,0)</f>
        <v>0</v>
      </c>
      <c r="AC23" s="33">
        <f>IF(AP23="7",BG23,0)</f>
        <v>0</v>
      </c>
      <c r="AD23" s="33">
        <f>IF(AP23="7",BH23,0)</f>
        <v>0</v>
      </c>
      <c r="AE23" s="33">
        <f>IF(AP23="2",BG23,0)</f>
        <v>0</v>
      </c>
      <c r="AF23" s="33">
        <f>IF(AP23="2",BH23,0)</f>
        <v>0</v>
      </c>
      <c r="AG23" s="33">
        <f>IF(AP23="0",BI23,0)</f>
        <v>0</v>
      </c>
      <c r="AH23" s="30"/>
      <c r="AI23" s="23">
        <f>IF(AM23=0,J23,0)</f>
        <v>0</v>
      </c>
      <c r="AJ23" s="23">
        <f>IF(AM23=15,J23,0)</f>
        <v>0</v>
      </c>
      <c r="AK23" s="23">
        <f>IF(AM23=21,J23,0)</f>
        <v>0</v>
      </c>
      <c r="AM23" s="33">
        <v>21</v>
      </c>
      <c r="AN23" s="33">
        <f>G23*0</f>
        <v>0</v>
      </c>
      <c r="AO23" s="33">
        <f>G23*(1-0)</f>
        <v>0</v>
      </c>
      <c r="AP23" s="34" t="s">
        <v>7</v>
      </c>
      <c r="AU23" s="33">
        <f>AV23+AW23</f>
        <v>0</v>
      </c>
      <c r="AV23" s="33">
        <f>F23*AN23</f>
        <v>0</v>
      </c>
      <c r="AW23" s="33">
        <f>F23*AO23</f>
        <v>0</v>
      </c>
      <c r="AX23" s="35" t="s">
        <v>102</v>
      </c>
      <c r="AY23" s="35" t="s">
        <v>109</v>
      </c>
      <c r="AZ23" s="30" t="s">
        <v>113</v>
      </c>
      <c r="BB23" s="33">
        <f>AV23+AW23</f>
        <v>0</v>
      </c>
      <c r="BC23" s="33">
        <f>G23/(100-BD23)*100</f>
        <v>0</v>
      </c>
      <c r="BD23" s="33">
        <v>0</v>
      </c>
      <c r="BE23" s="33">
        <f>L23</f>
        <v>0</v>
      </c>
      <c r="BG23" s="23">
        <f>F23*AN23</f>
        <v>0</v>
      </c>
      <c r="BH23" s="23">
        <f>F23*AO23</f>
        <v>0</v>
      </c>
      <c r="BI23" s="23">
        <f>F23*G23</f>
        <v>0</v>
      </c>
      <c r="BJ23" s="23" t="s">
        <v>118</v>
      </c>
      <c r="BK23" s="33" t="s">
        <v>22</v>
      </c>
    </row>
    <row r="24" spans="1:63" ht="25.65" customHeight="1" x14ac:dyDescent="0.25">
      <c r="A24" s="5"/>
      <c r="C24" s="16" t="s">
        <v>18</v>
      </c>
      <c r="D24" s="132" t="s">
        <v>50</v>
      </c>
      <c r="E24" s="133"/>
      <c r="F24" s="133"/>
      <c r="G24" s="133"/>
      <c r="H24" s="133"/>
      <c r="I24" s="133"/>
      <c r="J24" s="133"/>
      <c r="K24" s="133"/>
      <c r="L24" s="133"/>
      <c r="M24" s="5"/>
    </row>
    <row r="25" spans="1:63" x14ac:dyDescent="0.25">
      <c r="A25" s="88" t="s">
        <v>13</v>
      </c>
      <c r="B25" s="13"/>
      <c r="C25" s="13" t="s">
        <v>23</v>
      </c>
      <c r="D25" s="13" t="s">
        <v>51</v>
      </c>
      <c r="E25" s="13" t="s">
        <v>72</v>
      </c>
      <c r="F25" s="23">
        <v>1</v>
      </c>
      <c r="G25" s="120"/>
      <c r="H25" s="23">
        <f>F25*AN25</f>
        <v>0</v>
      </c>
      <c r="I25" s="23">
        <f>F25*AO25</f>
        <v>0</v>
      </c>
      <c r="J25" s="23">
        <f>F25*G25</f>
        <v>0</v>
      </c>
      <c r="K25" s="23">
        <v>0</v>
      </c>
      <c r="L25" s="23">
        <f>F25*K25</f>
        <v>0</v>
      </c>
      <c r="M25" s="5"/>
      <c r="Y25" s="33">
        <f>IF(AP25="5",BI25,0)</f>
        <v>0</v>
      </c>
      <c r="AA25" s="33">
        <f>IF(AP25="1",BG25,0)</f>
        <v>0</v>
      </c>
      <c r="AB25" s="33">
        <f>IF(AP25="1",BH25,0)</f>
        <v>0</v>
      </c>
      <c r="AC25" s="33">
        <f>IF(AP25="7",BG25,0)</f>
        <v>0</v>
      </c>
      <c r="AD25" s="33">
        <f>IF(AP25="7",BH25,0)</f>
        <v>0</v>
      </c>
      <c r="AE25" s="33">
        <f>IF(AP25="2",BG25,0)</f>
        <v>0</v>
      </c>
      <c r="AF25" s="33">
        <f>IF(AP25="2",BH25,0)</f>
        <v>0</v>
      </c>
      <c r="AG25" s="33">
        <f>IF(AP25="0",BI25,0)</f>
        <v>0</v>
      </c>
      <c r="AH25" s="30"/>
      <c r="AI25" s="23">
        <f>IF(AM25=0,J25,0)</f>
        <v>0</v>
      </c>
      <c r="AJ25" s="23">
        <f>IF(AM25=15,J25,0)</f>
        <v>0</v>
      </c>
      <c r="AK25" s="23">
        <f>IF(AM25=21,J25,0)</f>
        <v>0</v>
      </c>
      <c r="AM25" s="33">
        <v>21</v>
      </c>
      <c r="AN25" s="33">
        <f>G25*0</f>
        <v>0</v>
      </c>
      <c r="AO25" s="33">
        <f>G25*(1-0)</f>
        <v>0</v>
      </c>
      <c r="AP25" s="34" t="s">
        <v>7</v>
      </c>
      <c r="AU25" s="33">
        <f>AV25+AW25</f>
        <v>0</v>
      </c>
      <c r="AV25" s="33">
        <f>F25*AN25</f>
        <v>0</v>
      </c>
      <c r="AW25" s="33">
        <f>F25*AO25</f>
        <v>0</v>
      </c>
      <c r="AX25" s="35" t="s">
        <v>102</v>
      </c>
      <c r="AY25" s="35" t="s">
        <v>109</v>
      </c>
      <c r="AZ25" s="30" t="s">
        <v>113</v>
      </c>
      <c r="BB25" s="33">
        <f>AV25+AW25</f>
        <v>0</v>
      </c>
      <c r="BC25" s="33">
        <f>G25/(100-BD25)*100</f>
        <v>0</v>
      </c>
      <c r="BD25" s="33">
        <v>0</v>
      </c>
      <c r="BE25" s="33">
        <f>L25</f>
        <v>0</v>
      </c>
      <c r="BG25" s="23">
        <f>F25*AN25</f>
        <v>0</v>
      </c>
      <c r="BH25" s="23">
        <f>F25*AO25</f>
        <v>0</v>
      </c>
      <c r="BI25" s="23">
        <f>F25*G25</f>
        <v>0</v>
      </c>
      <c r="BJ25" s="23" t="s">
        <v>118</v>
      </c>
      <c r="BK25" s="33" t="s">
        <v>22</v>
      </c>
    </row>
    <row r="26" spans="1:63" x14ac:dyDescent="0.25">
      <c r="A26" s="5"/>
      <c r="C26" s="16" t="s">
        <v>18</v>
      </c>
      <c r="D26" s="132" t="s">
        <v>52</v>
      </c>
      <c r="E26" s="133"/>
      <c r="F26" s="133"/>
      <c r="G26" s="133"/>
      <c r="H26" s="133"/>
      <c r="I26" s="133"/>
      <c r="J26" s="133"/>
      <c r="K26" s="133"/>
      <c r="L26" s="133"/>
      <c r="M26" s="5"/>
    </row>
    <row r="27" spans="1:63" x14ac:dyDescent="0.25">
      <c r="A27" s="6"/>
      <c r="B27" s="14"/>
      <c r="C27" s="14" t="s">
        <v>24</v>
      </c>
      <c r="D27" s="14" t="s">
        <v>53</v>
      </c>
      <c r="E27" s="22" t="s">
        <v>6</v>
      </c>
      <c r="F27" s="22" t="s">
        <v>6</v>
      </c>
      <c r="G27" s="22" t="s">
        <v>6</v>
      </c>
      <c r="H27" s="38">
        <f>SUM(H28:H28)</f>
        <v>0</v>
      </c>
      <c r="I27" s="38">
        <f>SUM(I28:I28)</f>
        <v>0</v>
      </c>
      <c r="J27" s="38">
        <f>SUM(J28:J28)</f>
        <v>0</v>
      </c>
      <c r="K27" s="30"/>
      <c r="L27" s="38">
        <f>SUM(L28:L28)</f>
        <v>0</v>
      </c>
      <c r="M27" s="5"/>
      <c r="AH27" s="30"/>
      <c r="AR27" s="38">
        <f>SUM(AI28:AI28)</f>
        <v>0</v>
      </c>
      <c r="AS27" s="38">
        <f>SUM(AJ28:AJ28)</f>
        <v>0</v>
      </c>
      <c r="AT27" s="38">
        <f>SUM(AK28:AK28)</f>
        <v>0</v>
      </c>
    </row>
    <row r="28" spans="1:63" x14ac:dyDescent="0.25">
      <c r="A28" s="89" t="s">
        <v>14</v>
      </c>
      <c r="B28" s="20"/>
      <c r="C28" s="20" t="s">
        <v>25</v>
      </c>
      <c r="D28" s="94" t="s">
        <v>54</v>
      </c>
      <c r="E28" s="94" t="s">
        <v>72</v>
      </c>
      <c r="F28" s="33">
        <v>1</v>
      </c>
      <c r="G28" s="122"/>
      <c r="H28" s="33">
        <f>F28*AN28</f>
        <v>0</v>
      </c>
      <c r="I28" s="33">
        <f>F28*AO28</f>
        <v>0</v>
      </c>
      <c r="J28" s="33">
        <f>F28*G28</f>
        <v>0</v>
      </c>
      <c r="K28" s="33">
        <v>0</v>
      </c>
      <c r="L28" s="54">
        <f>F28*K28</f>
        <v>0</v>
      </c>
      <c r="M28" s="72"/>
      <c r="Y28" s="33">
        <f>IF(AP28="5",BI28,0)</f>
        <v>0</v>
      </c>
      <c r="AA28" s="33">
        <f>IF(AP28="1",BG28,0)</f>
        <v>0</v>
      </c>
      <c r="AB28" s="33">
        <f>IF(AP28="1",BH28,0)</f>
        <v>0</v>
      </c>
      <c r="AC28" s="33">
        <f>IF(AP28="7",BG28,0)</f>
        <v>0</v>
      </c>
      <c r="AD28" s="33">
        <f>IF(AP28="7",BH28,0)</f>
        <v>0</v>
      </c>
      <c r="AE28" s="33">
        <f>IF(AP28="2",BG28,0)</f>
        <v>0</v>
      </c>
      <c r="AF28" s="33">
        <f>IF(AP28="2",BH28,0)</f>
        <v>0</v>
      </c>
      <c r="AG28" s="33">
        <f>IF(AP28="0",BI28,0)</f>
        <v>0</v>
      </c>
      <c r="AH28" s="30"/>
      <c r="AI28" s="23">
        <f>IF(AM28=0,J28,0)</f>
        <v>0</v>
      </c>
      <c r="AJ28" s="23">
        <f>IF(AM28=15,J28,0)</f>
        <v>0</v>
      </c>
      <c r="AK28" s="23">
        <f>IF(AM28=21,J28,0)</f>
        <v>0</v>
      </c>
      <c r="AM28" s="33">
        <v>21</v>
      </c>
      <c r="AN28" s="33">
        <f>G28*0</f>
        <v>0</v>
      </c>
      <c r="AO28" s="33">
        <f>G28*(1-0)</f>
        <v>0</v>
      </c>
      <c r="AP28" s="34" t="s">
        <v>7</v>
      </c>
      <c r="AU28" s="33">
        <f>AV28+AW28</f>
        <v>0</v>
      </c>
      <c r="AV28" s="33">
        <f>F28*AN28</f>
        <v>0</v>
      </c>
      <c r="AW28" s="33">
        <f>F28*AO28</f>
        <v>0</v>
      </c>
      <c r="AX28" s="35" t="s">
        <v>103</v>
      </c>
      <c r="AY28" s="35" t="s">
        <v>109</v>
      </c>
      <c r="AZ28" s="30" t="s">
        <v>113</v>
      </c>
      <c r="BB28" s="33">
        <f>AV28+AW28</f>
        <v>0</v>
      </c>
      <c r="BC28" s="33">
        <f>G28/(100-BD28)*100</f>
        <v>0</v>
      </c>
      <c r="BD28" s="33">
        <v>0</v>
      </c>
      <c r="BE28" s="33">
        <f>L28</f>
        <v>0</v>
      </c>
      <c r="BG28" s="23">
        <f>F28*AN28</f>
        <v>0</v>
      </c>
      <c r="BH28" s="23">
        <f>F28*AO28</f>
        <v>0</v>
      </c>
      <c r="BI28" s="23">
        <f>F28*G28</f>
        <v>0</v>
      </c>
      <c r="BJ28" s="23" t="s">
        <v>118</v>
      </c>
      <c r="BK28" s="33" t="s">
        <v>24</v>
      </c>
    </row>
    <row r="29" spans="1:63" x14ac:dyDescent="0.25">
      <c r="A29" s="5"/>
      <c r="C29" s="16" t="s">
        <v>18</v>
      </c>
      <c r="D29" s="132" t="s">
        <v>55</v>
      </c>
      <c r="E29" s="133"/>
      <c r="F29" s="133"/>
      <c r="G29" s="133"/>
      <c r="H29" s="133"/>
      <c r="I29" s="133"/>
      <c r="J29" s="133"/>
      <c r="K29" s="133"/>
      <c r="L29" s="134"/>
      <c r="M29" s="72"/>
    </row>
    <row r="30" spans="1:63" x14ac:dyDescent="0.25">
      <c r="A30" s="6"/>
      <c r="B30" s="14"/>
      <c r="C30" s="14" t="s">
        <v>16</v>
      </c>
      <c r="D30" s="14" t="s">
        <v>56</v>
      </c>
      <c r="E30" s="22" t="s">
        <v>6</v>
      </c>
      <c r="F30" s="22" t="s">
        <v>6</v>
      </c>
      <c r="G30" s="22" t="s">
        <v>6</v>
      </c>
      <c r="H30" s="38">
        <f>SUM(H31:H31)</f>
        <v>0</v>
      </c>
      <c r="I30" s="38">
        <f>SUM(I31:I35)</f>
        <v>0</v>
      </c>
      <c r="J30" s="38">
        <f>SUM(J31:J35)</f>
        <v>0</v>
      </c>
      <c r="K30" s="30"/>
      <c r="L30" s="100">
        <f>SUM(L31:L35)</f>
        <v>915.64</v>
      </c>
      <c r="M30" s="72"/>
      <c r="AH30" s="30"/>
      <c r="AR30" s="38">
        <f>SUM(AI31:AI31)</f>
        <v>0</v>
      </c>
      <c r="AS30" s="38">
        <f>SUM(AJ31:AJ31)</f>
        <v>0</v>
      </c>
      <c r="AT30" s="38">
        <f>SUM(AK31:AK31)</f>
        <v>0</v>
      </c>
    </row>
    <row r="31" spans="1:63" x14ac:dyDescent="0.25">
      <c r="A31" s="88" t="s">
        <v>15</v>
      </c>
      <c r="B31" s="13"/>
      <c r="C31" s="95" t="s">
        <v>175</v>
      </c>
      <c r="D31" s="95" t="s">
        <v>189</v>
      </c>
      <c r="E31" s="13" t="s">
        <v>73</v>
      </c>
      <c r="F31" s="83">
        <v>7224</v>
      </c>
      <c r="G31" s="120"/>
      <c r="H31" s="83">
        <f>F31*AN31</f>
        <v>0</v>
      </c>
      <c r="I31" s="83">
        <f>F31*AO31</f>
        <v>0</v>
      </c>
      <c r="J31" s="83">
        <f>F31*G31</f>
        <v>0</v>
      </c>
      <c r="K31" s="83">
        <v>0.11</v>
      </c>
      <c r="L31" s="97">
        <f>F31*K31</f>
        <v>794.64</v>
      </c>
      <c r="M31" s="72"/>
      <c r="Y31" s="33">
        <f>IF(AP31="5",BI31,0)</f>
        <v>0</v>
      </c>
      <c r="AA31" s="33">
        <f>IF(AP31="1",BG31,0)</f>
        <v>0</v>
      </c>
      <c r="AB31" s="33">
        <f>IF(AP31="1",BH31,0)</f>
        <v>0</v>
      </c>
      <c r="AC31" s="33">
        <f>IF(AP31="7",BG31,0)</f>
        <v>0</v>
      </c>
      <c r="AD31" s="33">
        <f>IF(AP31="7",BH31,0)</f>
        <v>0</v>
      </c>
      <c r="AE31" s="33">
        <f>IF(AP31="2",BG31,0)</f>
        <v>0</v>
      </c>
      <c r="AF31" s="33">
        <f>IF(AP31="2",BH31,0)</f>
        <v>0</v>
      </c>
      <c r="AG31" s="33">
        <f>IF(AP31="0",BI31,0)</f>
        <v>0</v>
      </c>
      <c r="AH31" s="30"/>
      <c r="AI31" s="23">
        <f>IF(AM31=0,J31,0)</f>
        <v>0</v>
      </c>
      <c r="AJ31" s="23">
        <f>IF(AM31=15,J31,0)</f>
        <v>0</v>
      </c>
      <c r="AK31" s="23">
        <f>IF(AM31=21,J31,0)</f>
        <v>0</v>
      </c>
      <c r="AM31" s="33">
        <v>21</v>
      </c>
      <c r="AN31" s="33">
        <f>G31*0</f>
        <v>0</v>
      </c>
      <c r="AO31" s="33">
        <f>G31*(1-0)</f>
        <v>0</v>
      </c>
      <c r="AP31" s="34" t="s">
        <v>7</v>
      </c>
      <c r="AU31" s="33">
        <f>AV31+AW31</f>
        <v>0</v>
      </c>
      <c r="AV31" s="33">
        <f>F31*AN31</f>
        <v>0</v>
      </c>
      <c r="AW31" s="33">
        <f>F31*AO31</f>
        <v>0</v>
      </c>
      <c r="AX31" s="35" t="s">
        <v>104</v>
      </c>
      <c r="AY31" s="35" t="s">
        <v>110</v>
      </c>
      <c r="AZ31" s="30" t="s">
        <v>113</v>
      </c>
      <c r="BB31" s="33">
        <f>AV31+AW31</f>
        <v>0</v>
      </c>
      <c r="BC31" s="33">
        <f>G31/(100-BD31)*100</f>
        <v>0</v>
      </c>
      <c r="BD31" s="33">
        <v>0</v>
      </c>
      <c r="BE31" s="33">
        <f>L31</f>
        <v>794.64</v>
      </c>
      <c r="BG31" s="23">
        <f>F31*AN31</f>
        <v>0</v>
      </c>
      <c r="BH31" s="23">
        <f>F31*AO31</f>
        <v>0</v>
      </c>
      <c r="BI31" s="23">
        <f>F31*G31</f>
        <v>0</v>
      </c>
      <c r="BJ31" s="23" t="s">
        <v>118</v>
      </c>
      <c r="BK31" s="33">
        <v>11</v>
      </c>
    </row>
    <row r="32" spans="1:63" x14ac:dyDescent="0.25">
      <c r="A32" s="5"/>
      <c r="C32" s="82" t="s">
        <v>18</v>
      </c>
      <c r="D32" s="1" t="s">
        <v>174</v>
      </c>
      <c r="E32" s="125"/>
      <c r="F32" s="125"/>
      <c r="G32" s="125"/>
      <c r="H32" s="125"/>
      <c r="I32" s="125"/>
      <c r="J32" s="125"/>
      <c r="K32" s="125"/>
      <c r="L32" s="125"/>
      <c r="M32" s="72"/>
    </row>
    <row r="33" spans="1:63" s="81" customFormat="1" x14ac:dyDescent="0.25">
      <c r="A33" s="5">
        <v>10</v>
      </c>
      <c r="C33" s="95" t="s">
        <v>175</v>
      </c>
      <c r="D33" s="95" t="s">
        <v>205</v>
      </c>
      <c r="E33" s="13" t="s">
        <v>73</v>
      </c>
      <c r="F33" s="83">
        <v>800</v>
      </c>
      <c r="G33" s="120"/>
      <c r="H33" s="83">
        <f>F33*AN33</f>
        <v>0</v>
      </c>
      <c r="I33" s="83">
        <f>J33</f>
        <v>0</v>
      </c>
      <c r="J33" s="83">
        <f>F33*G33</f>
        <v>0</v>
      </c>
      <c r="K33" s="83">
        <v>0.11</v>
      </c>
      <c r="L33" s="97">
        <f>F33*K33</f>
        <v>88</v>
      </c>
      <c r="M33" s="72"/>
    </row>
    <row r="34" spans="1:63" s="81" customFormat="1" x14ac:dyDescent="0.25">
      <c r="A34" s="5"/>
      <c r="C34" s="82" t="s">
        <v>18</v>
      </c>
      <c r="D34" s="1" t="s">
        <v>195</v>
      </c>
      <c r="E34" s="125"/>
      <c r="F34" s="125"/>
      <c r="G34" s="125"/>
      <c r="H34" s="125"/>
      <c r="I34" s="125"/>
      <c r="J34" s="125"/>
      <c r="K34" s="125"/>
      <c r="L34" s="125"/>
      <c r="M34" s="72"/>
    </row>
    <row r="35" spans="1:63" s="81" customFormat="1" x14ac:dyDescent="0.25">
      <c r="A35" s="5">
        <v>11</v>
      </c>
      <c r="C35" s="95" t="s">
        <v>175</v>
      </c>
      <c r="D35" s="95" t="s">
        <v>194</v>
      </c>
      <c r="E35" s="13" t="s">
        <v>73</v>
      </c>
      <c r="F35" s="83">
        <v>300</v>
      </c>
      <c r="G35" s="120"/>
      <c r="H35" s="83">
        <f>F35*AN35</f>
        <v>0</v>
      </c>
      <c r="I35" s="83">
        <f>J35</f>
        <v>0</v>
      </c>
      <c r="J35" s="83">
        <f>F35*G35</f>
        <v>0</v>
      </c>
      <c r="K35" s="83">
        <v>0.11</v>
      </c>
      <c r="L35" s="97">
        <f>F35*K35</f>
        <v>33</v>
      </c>
      <c r="M35" s="72"/>
    </row>
    <row r="36" spans="1:63" s="81" customFormat="1" x14ac:dyDescent="0.25">
      <c r="A36" s="5"/>
      <c r="C36" s="82" t="s">
        <v>18</v>
      </c>
      <c r="D36" s="1" t="s">
        <v>195</v>
      </c>
      <c r="E36" s="125"/>
      <c r="F36" s="125"/>
      <c r="G36" s="125"/>
      <c r="H36" s="125"/>
      <c r="I36" s="125"/>
      <c r="J36" s="125"/>
      <c r="K36" s="125"/>
      <c r="L36" s="125"/>
      <c r="M36" s="72"/>
    </row>
    <row r="37" spans="1:63" x14ac:dyDescent="0.25">
      <c r="A37" s="6"/>
      <c r="B37" s="14"/>
      <c r="C37" s="14" t="s">
        <v>27</v>
      </c>
      <c r="D37" s="91" t="s">
        <v>57</v>
      </c>
      <c r="E37" s="22" t="s">
        <v>6</v>
      </c>
      <c r="F37" s="22" t="s">
        <v>6</v>
      </c>
      <c r="G37" s="22" t="s">
        <v>6</v>
      </c>
      <c r="H37" s="38">
        <f>SUM(H38:H47)</f>
        <v>0</v>
      </c>
      <c r="I37" s="38">
        <f>SUM(I38:I47)</f>
        <v>0</v>
      </c>
      <c r="J37" s="38">
        <f>SUM(J38:J47)</f>
        <v>0</v>
      </c>
      <c r="K37" s="30"/>
      <c r="L37" s="38">
        <f>SUM(L38:L47)</f>
        <v>1127.8035699999998</v>
      </c>
      <c r="M37" s="5"/>
      <c r="AH37" s="30"/>
      <c r="AR37" s="38">
        <f>SUM(AI38:AI48)</f>
        <v>0</v>
      </c>
      <c r="AS37" s="38">
        <f>SUM(AJ38:AJ48)</f>
        <v>0</v>
      </c>
      <c r="AT37" s="38">
        <f>SUM(AK38:AK48)</f>
        <v>0</v>
      </c>
    </row>
    <row r="38" spans="1:63" x14ac:dyDescent="0.25">
      <c r="A38" s="4" t="s">
        <v>180</v>
      </c>
      <c r="B38" s="13"/>
      <c r="C38" s="13" t="s">
        <v>28</v>
      </c>
      <c r="D38" s="13" t="s">
        <v>58</v>
      </c>
      <c r="E38" s="13" t="s">
        <v>73</v>
      </c>
      <c r="F38" s="83">
        <v>8324</v>
      </c>
      <c r="G38" s="120"/>
      <c r="H38" s="83">
        <f>F38*AN38</f>
        <v>0</v>
      </c>
      <c r="I38" s="83">
        <f>F38*AO38</f>
        <v>0</v>
      </c>
      <c r="J38" s="83">
        <f>F38*G38</f>
        <v>0</v>
      </c>
      <c r="K38" s="83">
        <v>3.1E-4</v>
      </c>
      <c r="L38" s="97">
        <f>F38*K38</f>
        <v>2.5804399999999998</v>
      </c>
      <c r="M38" s="72"/>
      <c r="Y38" s="33">
        <f>IF(AP38="5",BI38,0)</f>
        <v>0</v>
      </c>
      <c r="AA38" s="33">
        <f>IF(AP38="1",BG38,0)</f>
        <v>0</v>
      </c>
      <c r="AB38" s="33">
        <f>IF(AP38="1",BH38,0)</f>
        <v>0</v>
      </c>
      <c r="AC38" s="33">
        <f>IF(AP38="7",BG38,0)</f>
        <v>0</v>
      </c>
      <c r="AD38" s="33">
        <f>IF(AP38="7",BH38,0)</f>
        <v>0</v>
      </c>
      <c r="AE38" s="33">
        <f>IF(AP38="2",BG38,0)</f>
        <v>0</v>
      </c>
      <c r="AF38" s="33">
        <f>IF(AP38="2",BH38,0)</f>
        <v>0</v>
      </c>
      <c r="AG38" s="33">
        <f>IF(AP38="0",BI38,0)</f>
        <v>0</v>
      </c>
      <c r="AH38" s="30"/>
      <c r="AI38" s="23">
        <f>IF(AM38=0,J38,0)</f>
        <v>0</v>
      </c>
      <c r="AJ38" s="23">
        <f>IF(AM38=15,J38,0)</f>
        <v>0</v>
      </c>
      <c r="AK38" s="23">
        <f>IF(AM38=21,J38,0)</f>
        <v>0</v>
      </c>
      <c r="AM38" s="33">
        <v>21</v>
      </c>
      <c r="AN38" s="33">
        <f>G38*0.861735602860608</f>
        <v>0</v>
      </c>
      <c r="AO38" s="33">
        <f>G38*(1-0.861735602860608)</f>
        <v>0</v>
      </c>
      <c r="AP38" s="34" t="s">
        <v>7</v>
      </c>
      <c r="AU38" s="33">
        <f>AV38+AW38</f>
        <v>0</v>
      </c>
      <c r="AV38" s="33">
        <f>F38*AN38</f>
        <v>0</v>
      </c>
      <c r="AW38" s="33">
        <f>F38*AO38</f>
        <v>0</v>
      </c>
      <c r="AX38" s="35" t="s">
        <v>105</v>
      </c>
      <c r="AY38" s="35" t="s">
        <v>111</v>
      </c>
      <c r="AZ38" s="30" t="s">
        <v>113</v>
      </c>
      <c r="BB38" s="33">
        <f>AV38+AW38</f>
        <v>0</v>
      </c>
      <c r="BC38" s="33">
        <f>G38/(100-BD38)*100</f>
        <v>0</v>
      </c>
      <c r="BD38" s="33">
        <v>0</v>
      </c>
      <c r="BE38" s="33">
        <f>L38</f>
        <v>2.5804399999999998</v>
      </c>
      <c r="BG38" s="23">
        <f>F38*AN38</f>
        <v>0</v>
      </c>
      <c r="BH38" s="23">
        <f>F38*AO38</f>
        <v>0</v>
      </c>
      <c r="BI38" s="23">
        <f>F38*G38</f>
        <v>0</v>
      </c>
      <c r="BJ38" s="23" t="s">
        <v>118</v>
      </c>
      <c r="BK38" s="33">
        <v>57</v>
      </c>
    </row>
    <row r="39" spans="1:63" x14ac:dyDescent="0.25">
      <c r="A39" s="5"/>
      <c r="C39" s="17" t="s">
        <v>26</v>
      </c>
      <c r="D39" s="126" t="s">
        <v>59</v>
      </c>
      <c r="E39" s="125"/>
      <c r="F39" s="125"/>
      <c r="G39" s="125"/>
      <c r="H39" s="125"/>
      <c r="I39" s="125"/>
      <c r="J39" s="125"/>
      <c r="K39" s="125"/>
      <c r="L39" s="125"/>
      <c r="M39" s="72"/>
    </row>
    <row r="40" spans="1:63" s="81" customFormat="1" x14ac:dyDescent="0.25">
      <c r="A40" s="4" t="s">
        <v>202</v>
      </c>
      <c r="B40" s="13"/>
      <c r="C40" s="13" t="s">
        <v>200</v>
      </c>
      <c r="D40" s="13" t="s">
        <v>199</v>
      </c>
      <c r="E40" s="13" t="s">
        <v>73</v>
      </c>
      <c r="F40" s="83">
        <v>800</v>
      </c>
      <c r="G40" s="120"/>
      <c r="H40" s="83">
        <f>F40*AN40</f>
        <v>0</v>
      </c>
      <c r="I40" s="83">
        <f>F40*AO40</f>
        <v>0</v>
      </c>
      <c r="J40" s="83">
        <f>F40*G40</f>
        <v>0</v>
      </c>
      <c r="K40" s="83">
        <v>0.17</v>
      </c>
      <c r="L40" s="97">
        <f>F40*K40</f>
        <v>136</v>
      </c>
      <c r="M40" s="72"/>
      <c r="Y40" s="33">
        <f>IF(AP40="5",BI40,0)</f>
        <v>0</v>
      </c>
      <c r="AA40" s="33">
        <f>IF(AP40="1",BG40,0)</f>
        <v>0</v>
      </c>
      <c r="AB40" s="33">
        <f>IF(AP40="1",BH40,0)</f>
        <v>0</v>
      </c>
      <c r="AC40" s="33">
        <f>IF(AP40="7",BG40,0)</f>
        <v>0</v>
      </c>
      <c r="AD40" s="33">
        <f>IF(AP40="7",BH40,0)</f>
        <v>0</v>
      </c>
      <c r="AE40" s="33">
        <f>IF(AP40="2",BG40,0)</f>
        <v>0</v>
      </c>
      <c r="AF40" s="33">
        <f>IF(AP40="2",BH40,0)</f>
        <v>0</v>
      </c>
      <c r="AG40" s="33">
        <f>IF(AP40="0",BI40,0)</f>
        <v>0</v>
      </c>
      <c r="AH40" s="30"/>
      <c r="AI40" s="83">
        <f>IF(AM40=0,J40,0)</f>
        <v>0</v>
      </c>
      <c r="AJ40" s="83">
        <f>IF(AM40=15,J40,0)</f>
        <v>0</v>
      </c>
      <c r="AK40" s="83">
        <f>IF(AM40=21,J40,0)</f>
        <v>0</v>
      </c>
      <c r="AM40" s="33">
        <v>21</v>
      </c>
      <c r="AN40" s="33">
        <f>G40*0.598633333333333</f>
        <v>0</v>
      </c>
      <c r="AO40" s="33">
        <f>G40*(1-0.598633333333333)</f>
        <v>0</v>
      </c>
      <c r="AP40" s="34" t="s">
        <v>7</v>
      </c>
      <c r="AU40" s="33">
        <f>AV40+AW40</f>
        <v>0</v>
      </c>
      <c r="AV40" s="33">
        <f>F40*AN40</f>
        <v>0</v>
      </c>
      <c r="AW40" s="33">
        <f>F40*AO40</f>
        <v>0</v>
      </c>
      <c r="AX40" s="35" t="s">
        <v>105</v>
      </c>
      <c r="AY40" s="35" t="s">
        <v>111</v>
      </c>
      <c r="AZ40" s="30" t="s">
        <v>113</v>
      </c>
      <c r="BB40" s="33">
        <f>AV40+AW40</f>
        <v>0</v>
      </c>
      <c r="BC40" s="33">
        <f>G40/(100-BD40)*100</f>
        <v>0</v>
      </c>
      <c r="BD40" s="33">
        <v>0</v>
      </c>
      <c r="BE40" s="33">
        <f>L40</f>
        <v>136</v>
      </c>
      <c r="BG40" s="83">
        <f>F40*AN40</f>
        <v>0</v>
      </c>
      <c r="BH40" s="83">
        <f>F40*AO40</f>
        <v>0</v>
      </c>
      <c r="BI40" s="83">
        <f>F40*G40</f>
        <v>0</v>
      </c>
      <c r="BJ40" s="83" t="s">
        <v>118</v>
      </c>
      <c r="BK40" s="33">
        <v>57</v>
      </c>
    </row>
    <row r="41" spans="1:63" s="81" customFormat="1" x14ac:dyDescent="0.25">
      <c r="A41" s="4" t="s">
        <v>206</v>
      </c>
      <c r="B41" s="13"/>
      <c r="C41" s="13" t="s">
        <v>190</v>
      </c>
      <c r="D41" s="13" t="s">
        <v>191</v>
      </c>
      <c r="E41" s="13" t="s">
        <v>73</v>
      </c>
      <c r="F41" s="83">
        <v>300</v>
      </c>
      <c r="G41" s="120"/>
      <c r="H41" s="83">
        <f>F41*AN41</f>
        <v>0</v>
      </c>
      <c r="I41" s="83">
        <f>F41*AO41</f>
        <v>0</v>
      </c>
      <c r="J41" s="83">
        <f>F41*G41</f>
        <v>0</v>
      </c>
      <c r="K41" s="83">
        <v>0.17</v>
      </c>
      <c r="L41" s="83">
        <f>F41*K41</f>
        <v>51.000000000000007</v>
      </c>
      <c r="M41" s="5"/>
      <c r="Y41" s="33">
        <f>IF(AP41="5",BI41,0)</f>
        <v>0</v>
      </c>
      <c r="AA41" s="33">
        <f>IF(AP41="1",BG41,0)</f>
        <v>0</v>
      </c>
      <c r="AB41" s="33">
        <f>IF(AP41="1",BH41,0)</f>
        <v>0</v>
      </c>
      <c r="AC41" s="33">
        <f>IF(AP41="7",BG41,0)</f>
        <v>0</v>
      </c>
      <c r="AD41" s="33">
        <f>IF(AP41="7",BH41,0)</f>
        <v>0</v>
      </c>
      <c r="AE41" s="33">
        <f>IF(AP41="2",BG41,0)</f>
        <v>0</v>
      </c>
      <c r="AF41" s="33">
        <f>IF(AP41="2",BH41,0)</f>
        <v>0</v>
      </c>
      <c r="AG41" s="33">
        <f>IF(AP41="0",BI41,0)</f>
        <v>0</v>
      </c>
      <c r="AH41" s="30"/>
      <c r="AI41" s="83">
        <f>IF(AM41=0,J41,0)</f>
        <v>0</v>
      </c>
      <c r="AJ41" s="83">
        <f>IF(AM41=15,J41,0)</f>
        <v>0</v>
      </c>
      <c r="AK41" s="83">
        <f>IF(AM41=21,J41,0)</f>
        <v>0</v>
      </c>
      <c r="AM41" s="33">
        <v>21</v>
      </c>
      <c r="AN41" s="33">
        <f>G41*0.598633333333333</f>
        <v>0</v>
      </c>
      <c r="AO41" s="33">
        <f>G41*(1-0.598633333333333)</f>
        <v>0</v>
      </c>
      <c r="AP41" s="34" t="s">
        <v>7</v>
      </c>
      <c r="AU41" s="33">
        <f>AV41+AW41</f>
        <v>0</v>
      </c>
      <c r="AV41" s="33">
        <f>F41*AN41</f>
        <v>0</v>
      </c>
      <c r="AW41" s="33">
        <f>F41*AO41</f>
        <v>0</v>
      </c>
      <c r="AX41" s="35" t="s">
        <v>105</v>
      </c>
      <c r="AY41" s="35" t="s">
        <v>111</v>
      </c>
      <c r="AZ41" s="30" t="s">
        <v>113</v>
      </c>
      <c r="BB41" s="33">
        <f>AV41+AW41</f>
        <v>0</v>
      </c>
      <c r="BC41" s="33">
        <f>G41/(100-BD41)*100</f>
        <v>0</v>
      </c>
      <c r="BD41" s="33">
        <v>0</v>
      </c>
      <c r="BE41" s="33">
        <f>L41</f>
        <v>51.000000000000007</v>
      </c>
      <c r="BG41" s="83">
        <f>F41*AN41</f>
        <v>0</v>
      </c>
      <c r="BH41" s="83">
        <f>F41*AO41</f>
        <v>0</v>
      </c>
      <c r="BI41" s="83">
        <f>F41*G41</f>
        <v>0</v>
      </c>
      <c r="BJ41" s="83" t="s">
        <v>118</v>
      </c>
      <c r="BK41" s="33">
        <v>57</v>
      </c>
    </row>
    <row r="42" spans="1:63" s="81" customFormat="1" x14ac:dyDescent="0.25">
      <c r="A42" s="5"/>
      <c r="D42" s="19"/>
      <c r="E42" s="98"/>
      <c r="F42" s="24"/>
      <c r="G42" s="98"/>
      <c r="H42" s="98"/>
      <c r="I42" s="98"/>
      <c r="J42" s="98"/>
      <c r="K42" s="98"/>
      <c r="L42" s="99"/>
      <c r="M42" s="72"/>
    </row>
    <row r="43" spans="1:63" ht="39.6" x14ac:dyDescent="0.25">
      <c r="A43" s="4" t="s">
        <v>17</v>
      </c>
      <c r="B43" s="13"/>
      <c r="C43" s="96" t="s">
        <v>176</v>
      </c>
      <c r="D43" s="103" t="s">
        <v>178</v>
      </c>
      <c r="E43" s="13" t="s">
        <v>73</v>
      </c>
      <c r="F43" s="83">
        <v>7224</v>
      </c>
      <c r="G43" s="120"/>
      <c r="H43" s="83">
        <f>F43*AN43</f>
        <v>0</v>
      </c>
      <c r="I43" s="83">
        <f>F43*AO43</f>
        <v>0</v>
      </c>
      <c r="J43" s="83">
        <f>F43*G43</f>
        <v>0</v>
      </c>
      <c r="K43" s="83">
        <v>0.12966</v>
      </c>
      <c r="L43" s="97">
        <f>F43*K43</f>
        <v>936.66383999999994</v>
      </c>
      <c r="M43" s="72"/>
      <c r="Y43" s="33">
        <f>IF(AP43="5",BI43,0)</f>
        <v>0</v>
      </c>
      <c r="AA43" s="33">
        <f>IF(AP43="1",BG43,0)</f>
        <v>0</v>
      </c>
      <c r="AB43" s="33">
        <f>IF(AP43="1",BH43,0)</f>
        <v>0</v>
      </c>
      <c r="AC43" s="33">
        <f>IF(AP43="7",BG43,0)</f>
        <v>0</v>
      </c>
      <c r="AD43" s="33">
        <f>IF(AP43="7",BH43,0)</f>
        <v>0</v>
      </c>
      <c r="AE43" s="33">
        <f>IF(AP43="2",BG43,0)</f>
        <v>0</v>
      </c>
      <c r="AF43" s="33">
        <f>IF(AP43="2",BH43,0)</f>
        <v>0</v>
      </c>
      <c r="AG43" s="33">
        <f>IF(AP43="0",BI43,0)</f>
        <v>0</v>
      </c>
      <c r="AH43" s="30"/>
      <c r="AI43" s="23">
        <f>IF(AM43=0,J43,0)</f>
        <v>0</v>
      </c>
      <c r="AJ43" s="23">
        <f>IF(AM43=15,J43,0)</f>
        <v>0</v>
      </c>
      <c r="AK43" s="23">
        <f>IF(AM43=21,J43,0)</f>
        <v>0</v>
      </c>
      <c r="AM43" s="33">
        <v>21</v>
      </c>
      <c r="AN43" s="33">
        <f>G43*0.638098676293622</f>
        <v>0</v>
      </c>
      <c r="AO43" s="33">
        <f>G43*(1-0.638098676293622)</f>
        <v>0</v>
      </c>
      <c r="AP43" s="34" t="s">
        <v>7</v>
      </c>
      <c r="AU43" s="33">
        <f>AV43+AW43</f>
        <v>0</v>
      </c>
      <c r="AV43" s="33">
        <f>F43*AN43</f>
        <v>0</v>
      </c>
      <c r="AW43" s="33">
        <f>F43*AO43</f>
        <v>0</v>
      </c>
      <c r="AX43" s="35" t="s">
        <v>105</v>
      </c>
      <c r="AY43" s="35" t="s">
        <v>111</v>
      </c>
      <c r="AZ43" s="30" t="s">
        <v>113</v>
      </c>
      <c r="BB43" s="33">
        <f>AV43+AW43</f>
        <v>0</v>
      </c>
      <c r="BC43" s="33">
        <f>G43/(100-BD43)*100</f>
        <v>0</v>
      </c>
      <c r="BD43" s="33">
        <v>0</v>
      </c>
      <c r="BE43" s="33">
        <f>L43</f>
        <v>936.66383999999994</v>
      </c>
      <c r="BG43" s="23">
        <f>F43*AN43</f>
        <v>0</v>
      </c>
      <c r="BH43" s="23">
        <f>F43*AO43</f>
        <v>0</v>
      </c>
      <c r="BI43" s="23">
        <f>F43*G43</f>
        <v>0</v>
      </c>
      <c r="BJ43" s="23" t="s">
        <v>118</v>
      </c>
      <c r="BK43" s="33">
        <v>57</v>
      </c>
    </row>
    <row r="44" spans="1:63" s="81" customFormat="1" x14ac:dyDescent="0.25">
      <c r="A44" s="88"/>
      <c r="B44" s="13"/>
      <c r="C44" s="96"/>
      <c r="D44" s="103"/>
      <c r="E44" s="13"/>
      <c r="F44" s="83"/>
      <c r="G44" s="83"/>
      <c r="H44" s="83"/>
      <c r="I44" s="83"/>
      <c r="J44" s="83"/>
      <c r="K44" s="83"/>
      <c r="L44" s="97"/>
      <c r="M44" s="72"/>
      <c r="Y44" s="33"/>
      <c r="AA44" s="33"/>
      <c r="AB44" s="33"/>
      <c r="AC44" s="33"/>
      <c r="AD44" s="33"/>
      <c r="AE44" s="33"/>
      <c r="AF44" s="33"/>
      <c r="AG44" s="33"/>
      <c r="AH44" s="30"/>
      <c r="AI44" s="83"/>
      <c r="AJ44" s="83"/>
      <c r="AK44" s="83"/>
      <c r="AM44" s="33"/>
      <c r="AN44" s="33"/>
      <c r="AO44" s="33"/>
      <c r="AP44" s="34"/>
      <c r="AU44" s="33"/>
      <c r="AV44" s="33"/>
      <c r="AW44" s="33"/>
      <c r="AX44" s="35"/>
      <c r="AY44" s="35"/>
      <c r="AZ44" s="30"/>
      <c r="BB44" s="33"/>
      <c r="BC44" s="33"/>
      <c r="BD44" s="33"/>
      <c r="BE44" s="33"/>
      <c r="BG44" s="83"/>
      <c r="BH44" s="83"/>
      <c r="BI44" s="83"/>
      <c r="BJ44" s="83"/>
      <c r="BK44" s="33"/>
    </row>
    <row r="45" spans="1:63" s="81" customFormat="1" x14ac:dyDescent="0.25">
      <c r="A45" s="5">
        <v>16</v>
      </c>
      <c r="C45" s="13" t="s">
        <v>188</v>
      </c>
      <c r="D45" s="119" t="s">
        <v>201</v>
      </c>
      <c r="E45" s="13" t="s">
        <v>73</v>
      </c>
      <c r="F45" s="83">
        <v>50</v>
      </c>
      <c r="G45" s="120"/>
      <c r="H45" s="83">
        <f>F45*0.4*G45</f>
        <v>0</v>
      </c>
      <c r="I45" s="83">
        <f>F45*0.6*G45</f>
        <v>0</v>
      </c>
      <c r="J45" s="83">
        <f>F45*G45</f>
        <v>0</v>
      </c>
      <c r="K45" s="83">
        <v>7.3899999999999993E-2</v>
      </c>
      <c r="L45" s="97">
        <v>1.5592900000000001</v>
      </c>
      <c r="M45" s="83"/>
    </row>
    <row r="46" spans="1:63" s="81" customFormat="1" ht="26.4" x14ac:dyDescent="0.25">
      <c r="A46" s="5"/>
      <c r="C46" s="17"/>
      <c r="D46" s="93" t="s">
        <v>203</v>
      </c>
      <c r="E46" s="101"/>
      <c r="F46" s="101"/>
      <c r="G46" s="101"/>
      <c r="H46" s="101"/>
      <c r="I46" s="101"/>
      <c r="J46" s="101"/>
      <c r="K46" s="101"/>
      <c r="L46" s="102"/>
      <c r="M46" s="72"/>
    </row>
    <row r="47" spans="1:63" s="81" customFormat="1" ht="13.8" thickBot="1" x14ac:dyDescent="0.3">
      <c r="A47" s="72"/>
      <c r="C47" s="17"/>
      <c r="D47" s="93"/>
      <c r="E47" s="118"/>
      <c r="F47" s="118"/>
      <c r="G47" s="118"/>
      <c r="H47" s="118"/>
      <c r="I47" s="118"/>
      <c r="J47" s="118"/>
      <c r="K47" s="118"/>
      <c r="L47" s="102"/>
      <c r="M47" s="72"/>
    </row>
    <row r="48" spans="1:63" s="81" customFormat="1" x14ac:dyDescent="0.25">
      <c r="A48" s="14"/>
      <c r="B48" s="14"/>
      <c r="C48" s="14" t="s">
        <v>181</v>
      </c>
      <c r="D48" s="14" t="s">
        <v>182</v>
      </c>
      <c r="E48" s="14" t="s">
        <v>6</v>
      </c>
      <c r="F48" s="14" t="s">
        <v>6</v>
      </c>
      <c r="G48" s="107" t="s">
        <v>6</v>
      </c>
      <c r="H48" s="38">
        <f>SUM(H49:H49)</f>
        <v>0</v>
      </c>
      <c r="I48" s="38">
        <f>SUM(I49:I49)</f>
        <v>0</v>
      </c>
      <c r="J48" s="38">
        <f>SUM(J49:J49)</f>
        <v>0</v>
      </c>
      <c r="K48" s="108"/>
      <c r="L48" s="109">
        <v>0.86</v>
      </c>
      <c r="M48" s="13"/>
      <c r="AH48" s="29"/>
      <c r="AR48" s="37">
        <v>0</v>
      </c>
      <c r="AS48" s="37">
        <v>0</v>
      </c>
      <c r="AT48" s="37">
        <v>10728</v>
      </c>
    </row>
    <row r="49" spans="1:63" s="113" customFormat="1" ht="26.4" x14ac:dyDescent="0.25">
      <c r="A49" s="110" t="s">
        <v>192</v>
      </c>
      <c r="B49" s="110"/>
      <c r="C49" s="110" t="s">
        <v>183</v>
      </c>
      <c r="D49" s="117" t="s">
        <v>196</v>
      </c>
      <c r="E49" s="110" t="s">
        <v>184</v>
      </c>
      <c r="F49" s="111" t="s">
        <v>204</v>
      </c>
      <c r="G49" s="123"/>
      <c r="H49" s="83">
        <f>F49*0.3*G49</f>
        <v>0</v>
      </c>
      <c r="I49" s="83">
        <f>F49*0.7*G49</f>
        <v>0</v>
      </c>
      <c r="J49" s="83">
        <f>F49*G49</f>
        <v>0</v>
      </c>
      <c r="K49" s="112">
        <v>0.43093999999999999</v>
      </c>
      <c r="L49" s="83">
        <f>F49*K49</f>
        <v>9.9116199999999992</v>
      </c>
      <c r="M49" s="110"/>
      <c r="Y49" s="114">
        <v>0</v>
      </c>
      <c r="AA49" s="114">
        <v>2992.9999999999991</v>
      </c>
      <c r="AB49" s="114">
        <v>6487</v>
      </c>
      <c r="AC49" s="114">
        <v>0</v>
      </c>
      <c r="AD49" s="114">
        <v>0</v>
      </c>
      <c r="AE49" s="114">
        <v>0</v>
      </c>
      <c r="AF49" s="114">
        <v>0</v>
      </c>
      <c r="AG49" s="114">
        <v>0</v>
      </c>
      <c r="AH49" s="111"/>
      <c r="AI49" s="115">
        <v>0</v>
      </c>
      <c r="AJ49" s="115">
        <v>0</v>
      </c>
      <c r="AK49" s="115">
        <v>9480</v>
      </c>
      <c r="AM49" s="114">
        <v>21</v>
      </c>
      <c r="AN49" s="114">
        <v>748.24999999999977</v>
      </c>
      <c r="AO49" s="114">
        <v>1621.75</v>
      </c>
      <c r="AP49" s="116" t="s">
        <v>7</v>
      </c>
      <c r="AU49" s="114">
        <v>9480</v>
      </c>
      <c r="AV49" s="114">
        <v>2992.9999999999991</v>
      </c>
      <c r="AW49" s="114">
        <v>6487</v>
      </c>
      <c r="AX49" s="111" t="s">
        <v>185</v>
      </c>
      <c r="AY49" s="111" t="s">
        <v>186</v>
      </c>
      <c r="AZ49" s="111" t="s">
        <v>113</v>
      </c>
      <c r="BB49" s="114">
        <v>9480</v>
      </c>
      <c r="BC49" s="114">
        <v>2370</v>
      </c>
      <c r="BD49" s="114">
        <v>0</v>
      </c>
      <c r="BE49" s="114">
        <v>1.72376</v>
      </c>
      <c r="BG49" s="115">
        <v>2992.9999999999991</v>
      </c>
      <c r="BH49" s="115">
        <v>6487</v>
      </c>
      <c r="BI49" s="115">
        <v>9480</v>
      </c>
      <c r="BJ49" s="115" t="s">
        <v>118</v>
      </c>
      <c r="BK49" s="114">
        <v>89</v>
      </c>
    </row>
    <row r="50" spans="1:63" x14ac:dyDescent="0.25">
      <c r="A50" s="5"/>
      <c r="C50" s="17"/>
      <c r="D50" s="79"/>
      <c r="E50" s="80"/>
      <c r="F50" s="80"/>
      <c r="G50" s="80"/>
      <c r="H50" s="80"/>
      <c r="I50" s="80"/>
      <c r="J50" s="80"/>
      <c r="K50" s="80"/>
      <c r="L50" s="80"/>
      <c r="M50" s="5"/>
    </row>
    <row r="51" spans="1:63" x14ac:dyDescent="0.25">
      <c r="A51" s="6"/>
      <c r="B51" s="14"/>
      <c r="C51" s="14" t="s">
        <v>29</v>
      </c>
      <c r="D51" s="14" t="s">
        <v>60</v>
      </c>
      <c r="E51" s="22" t="s">
        <v>6</v>
      </c>
      <c r="F51" s="22" t="s">
        <v>6</v>
      </c>
      <c r="G51" s="22" t="s">
        <v>6</v>
      </c>
      <c r="H51" s="38">
        <f>SUM(H52:H55)</f>
        <v>0</v>
      </c>
      <c r="I51" s="38">
        <f>SUM(I52:I55)</f>
        <v>0</v>
      </c>
      <c r="J51" s="38">
        <f>SUM(J52:J55)</f>
        <v>0</v>
      </c>
      <c r="K51" s="30"/>
      <c r="L51" s="38">
        <f>SUM(L52:L55)</f>
        <v>0.05</v>
      </c>
      <c r="M51" s="5"/>
      <c r="AH51" s="30"/>
      <c r="AR51" s="38">
        <f>SUM(AI52:AI55)</f>
        <v>0</v>
      </c>
      <c r="AS51" s="38">
        <f>SUM(AJ52:AJ55)</f>
        <v>0</v>
      </c>
      <c r="AT51" s="38">
        <f>SUM(AK52:AK55)</f>
        <v>0</v>
      </c>
    </row>
    <row r="52" spans="1:63" x14ac:dyDescent="0.25">
      <c r="A52" s="4" t="s">
        <v>193</v>
      </c>
      <c r="B52" s="13"/>
      <c r="C52" s="13" t="s">
        <v>30</v>
      </c>
      <c r="D52" s="13" t="s">
        <v>61</v>
      </c>
      <c r="E52" s="13" t="s">
        <v>74</v>
      </c>
      <c r="F52" s="83">
        <v>500</v>
      </c>
      <c r="G52" s="120"/>
      <c r="H52" s="83">
        <f>F52*AN52</f>
        <v>0</v>
      </c>
      <c r="I52" s="83">
        <f>F52*AO52</f>
        <v>0</v>
      </c>
      <c r="J52" s="83">
        <f>F52*G52</f>
        <v>0</v>
      </c>
      <c r="K52" s="83">
        <v>1E-4</v>
      </c>
      <c r="L52" s="97">
        <f>F52*K52</f>
        <v>0.05</v>
      </c>
      <c r="M52" s="72"/>
      <c r="Y52" s="33">
        <f>IF(AP52="5",BI52,0)</f>
        <v>0</v>
      </c>
      <c r="AA52" s="33">
        <f>IF(AP52="1",BG52,0)</f>
        <v>0</v>
      </c>
      <c r="AB52" s="33">
        <f>IF(AP52="1",BH52,0)</f>
        <v>0</v>
      </c>
      <c r="AC52" s="33">
        <f>IF(AP52="7",BG52,0)</f>
        <v>0</v>
      </c>
      <c r="AD52" s="33">
        <f>IF(AP52="7",BH52,0)</f>
        <v>0</v>
      </c>
      <c r="AE52" s="33">
        <f>IF(AP52="2",BG52,0)</f>
        <v>0</v>
      </c>
      <c r="AF52" s="33">
        <f>IF(AP52="2",BH52,0)</f>
        <v>0</v>
      </c>
      <c r="AG52" s="33">
        <f>IF(AP52="0",BI52,0)</f>
        <v>0</v>
      </c>
      <c r="AH52" s="30"/>
      <c r="AI52" s="23">
        <f>IF(AM52=0,J52,0)</f>
        <v>0</v>
      </c>
      <c r="AJ52" s="23">
        <f>IF(AM52=15,J52,0)</f>
        <v>0</v>
      </c>
      <c r="AK52" s="23">
        <f>IF(AM52=21,J52,0)</f>
        <v>0</v>
      </c>
      <c r="AM52" s="33">
        <v>21</v>
      </c>
      <c r="AN52" s="33">
        <f>G52*0.0923427957855178</f>
        <v>0</v>
      </c>
      <c r="AO52" s="33">
        <f>G52*(1-0.0923427957855178)</f>
        <v>0</v>
      </c>
      <c r="AP52" s="34" t="s">
        <v>7</v>
      </c>
      <c r="AU52" s="33">
        <f>AV52+AW52</f>
        <v>0</v>
      </c>
      <c r="AV52" s="33">
        <f>F52*AN52</f>
        <v>0</v>
      </c>
      <c r="AW52" s="33">
        <f>F52*AO52</f>
        <v>0</v>
      </c>
      <c r="AX52" s="35" t="s">
        <v>106</v>
      </c>
      <c r="AY52" s="35" t="s">
        <v>112</v>
      </c>
      <c r="AZ52" s="30" t="s">
        <v>113</v>
      </c>
      <c r="BB52" s="33">
        <f>AV52+AW52</f>
        <v>0</v>
      </c>
      <c r="BC52" s="33">
        <f>G52/(100-BD52)*100</f>
        <v>0</v>
      </c>
      <c r="BD52" s="33">
        <v>0</v>
      </c>
      <c r="BE52" s="33">
        <f>L52</f>
        <v>0.05</v>
      </c>
      <c r="BG52" s="23">
        <f>F52*AN52</f>
        <v>0</v>
      </c>
      <c r="BH52" s="23">
        <f>F52*AO52</f>
        <v>0</v>
      </c>
      <c r="BI52" s="23">
        <f>F52*G52</f>
        <v>0</v>
      </c>
      <c r="BJ52" s="23" t="s">
        <v>118</v>
      </c>
      <c r="BK52" s="33">
        <v>91</v>
      </c>
    </row>
    <row r="53" spans="1:63" x14ac:dyDescent="0.25">
      <c r="A53" s="5"/>
      <c r="C53" s="17" t="s">
        <v>26</v>
      </c>
      <c r="D53" s="131" t="s">
        <v>173</v>
      </c>
      <c r="E53" s="125"/>
      <c r="F53" s="125"/>
      <c r="G53" s="125"/>
      <c r="H53" s="125"/>
      <c r="I53" s="125"/>
      <c r="J53" s="125"/>
      <c r="K53" s="125"/>
      <c r="L53" s="125"/>
      <c r="M53" s="72"/>
    </row>
    <row r="54" spans="1:63" x14ac:dyDescent="0.25">
      <c r="A54" s="5"/>
      <c r="D54" s="19"/>
      <c r="F54" s="24"/>
      <c r="M54" s="5"/>
    </row>
    <row r="55" spans="1:63" x14ac:dyDescent="0.25">
      <c r="A55" s="5"/>
      <c r="C55" s="16" t="s">
        <v>18</v>
      </c>
      <c r="D55" s="132" t="s">
        <v>208</v>
      </c>
      <c r="E55" s="133"/>
      <c r="F55" s="133"/>
      <c r="G55" s="133"/>
      <c r="H55" s="133"/>
      <c r="I55" s="133"/>
      <c r="J55" s="133"/>
      <c r="K55" s="133"/>
      <c r="L55" s="133"/>
      <c r="M55" s="5"/>
    </row>
    <row r="56" spans="1:63" x14ac:dyDescent="0.25">
      <c r="A56" s="6"/>
      <c r="B56" s="14"/>
      <c r="C56" s="14" t="s">
        <v>31</v>
      </c>
      <c r="D56" s="14" t="s">
        <v>62</v>
      </c>
      <c r="E56" s="22" t="s">
        <v>6</v>
      </c>
      <c r="F56" s="22" t="s">
        <v>6</v>
      </c>
      <c r="G56" s="22" t="s">
        <v>6</v>
      </c>
      <c r="H56" s="38">
        <f>SUM(H57:H57)</f>
        <v>0</v>
      </c>
      <c r="I56" s="38">
        <f>SUM(I57:I57)</f>
        <v>0</v>
      </c>
      <c r="J56" s="38">
        <f>SUM(J57:J57)</f>
        <v>0</v>
      </c>
      <c r="K56" s="30"/>
      <c r="L56" s="38">
        <f>SUM(L57:L57)</f>
        <v>0</v>
      </c>
      <c r="M56" s="5"/>
      <c r="AH56" s="30"/>
      <c r="AR56" s="38">
        <f>SUM(AI57:AI57)</f>
        <v>0</v>
      </c>
      <c r="AS56" s="38">
        <f>SUM(AJ57:AJ57)</f>
        <v>0</v>
      </c>
      <c r="AT56" s="38">
        <f>SUM(AK57:AK57)</f>
        <v>0</v>
      </c>
    </row>
    <row r="57" spans="1:63" x14ac:dyDescent="0.25">
      <c r="A57" s="73" t="s">
        <v>187</v>
      </c>
      <c r="B57" s="73"/>
      <c r="C57" s="73" t="s">
        <v>32</v>
      </c>
      <c r="D57" s="73" t="s">
        <v>63</v>
      </c>
      <c r="E57" s="73" t="s">
        <v>75</v>
      </c>
      <c r="F57" s="77">
        <f>L37+L48+L51</f>
        <v>1128.7135699999997</v>
      </c>
      <c r="G57" s="124"/>
      <c r="H57" s="77">
        <f>F57*AN57</f>
        <v>0</v>
      </c>
      <c r="I57" s="77">
        <f>F57*AO57</f>
        <v>0</v>
      </c>
      <c r="J57" s="77">
        <f>F57*G57</f>
        <v>0</v>
      </c>
      <c r="K57" s="77">
        <v>0</v>
      </c>
      <c r="L57" s="77">
        <f>F57*K57</f>
        <v>0</v>
      </c>
      <c r="M57" s="72"/>
      <c r="Y57" s="33">
        <f>IF(AP57="5",BI57,0)</f>
        <v>0</v>
      </c>
      <c r="AA57" s="33">
        <f>IF(AP57="1",BG57,0)</f>
        <v>0</v>
      </c>
      <c r="AB57" s="33">
        <f>IF(AP57="1",BH57,0)</f>
        <v>0</v>
      </c>
      <c r="AC57" s="33">
        <f>IF(AP57="7",BG57,0)</f>
        <v>0</v>
      </c>
      <c r="AD57" s="33">
        <f>IF(AP57="7",BH57,0)</f>
        <v>0</v>
      </c>
      <c r="AE57" s="33">
        <f>IF(AP57="2",BG57,0)</f>
        <v>0</v>
      </c>
      <c r="AF57" s="33">
        <f>IF(AP57="2",BH57,0)</f>
        <v>0</v>
      </c>
      <c r="AG57" s="33">
        <f>IF(AP57="0",BI57,0)</f>
        <v>0</v>
      </c>
      <c r="AH57" s="30"/>
      <c r="AI57" s="23">
        <f>IF(AM57=0,J57,0)</f>
        <v>0</v>
      </c>
      <c r="AJ57" s="23">
        <f>IF(AM57=15,J57,0)</f>
        <v>0</v>
      </c>
      <c r="AK57" s="23">
        <f>IF(AM57=21,J57,0)</f>
        <v>0</v>
      </c>
      <c r="AM57" s="33">
        <v>21</v>
      </c>
      <c r="AN57" s="33">
        <f>G57*0</f>
        <v>0</v>
      </c>
      <c r="AO57" s="33">
        <f>G57*(1-0)</f>
        <v>0</v>
      </c>
      <c r="AP57" s="34" t="s">
        <v>11</v>
      </c>
      <c r="AU57" s="33">
        <f>AV57+AW57</f>
        <v>0</v>
      </c>
      <c r="AV57" s="33">
        <f>F57*AN57</f>
        <v>0</v>
      </c>
      <c r="AW57" s="33">
        <f>F57*AO57</f>
        <v>0</v>
      </c>
      <c r="AX57" s="35" t="s">
        <v>107</v>
      </c>
      <c r="AY57" s="35" t="s">
        <v>112</v>
      </c>
      <c r="AZ57" s="30" t="s">
        <v>113</v>
      </c>
      <c r="BB57" s="33">
        <f>AV57+AW57</f>
        <v>0</v>
      </c>
      <c r="BC57" s="33">
        <f>G57/(100-BD57)*100</f>
        <v>0</v>
      </c>
      <c r="BD57" s="33">
        <v>0</v>
      </c>
      <c r="BE57" s="33">
        <f>L57</f>
        <v>0</v>
      </c>
      <c r="BG57" s="23">
        <f>F57*AN57</f>
        <v>0</v>
      </c>
      <c r="BH57" s="23">
        <f>F57*AO57</f>
        <v>0</v>
      </c>
      <c r="BI57" s="23">
        <f>F57*G57</f>
        <v>0</v>
      </c>
      <c r="BJ57" s="23" t="s">
        <v>118</v>
      </c>
      <c r="BK57" s="33" t="s">
        <v>31</v>
      </c>
    </row>
    <row r="58" spans="1:63" x14ac:dyDescent="0.25">
      <c r="A58" s="74"/>
      <c r="B58" s="75"/>
      <c r="C58" s="75"/>
      <c r="D58" s="76"/>
      <c r="E58" s="75"/>
      <c r="F58" s="78"/>
      <c r="G58" s="75"/>
      <c r="H58" s="75"/>
      <c r="I58" s="75"/>
      <c r="J58" s="75"/>
      <c r="K58" s="75"/>
      <c r="L58" s="75"/>
      <c r="M58" s="72"/>
    </row>
    <row r="59" spans="1:63" x14ac:dyDescent="0.25">
      <c r="A59" s="6"/>
      <c r="B59" s="14"/>
      <c r="C59" s="14" t="s">
        <v>33</v>
      </c>
      <c r="D59" s="14" t="s">
        <v>64</v>
      </c>
      <c r="E59" s="22" t="s">
        <v>6</v>
      </c>
      <c r="F59" s="22" t="s">
        <v>6</v>
      </c>
      <c r="G59" s="22" t="s">
        <v>6</v>
      </c>
      <c r="H59" s="38">
        <f>SUM(H60:H62)</f>
        <v>0</v>
      </c>
      <c r="I59" s="38">
        <f>SUM(I60:I62)</f>
        <v>0</v>
      </c>
      <c r="J59" s="38">
        <f>SUM(J60:J62)</f>
        <v>0</v>
      </c>
      <c r="K59" s="30"/>
      <c r="L59" s="38">
        <f>SUM(L60:L62)</f>
        <v>0</v>
      </c>
      <c r="M59" s="5"/>
      <c r="AH59" s="30"/>
      <c r="AR59" s="38">
        <f>SUM(AI60:AI62)</f>
        <v>0</v>
      </c>
      <c r="AS59" s="38">
        <f>SUM(AJ60:AJ62)</f>
        <v>0</v>
      </c>
      <c r="AT59" s="38">
        <f>SUM(AK60:AK62)</f>
        <v>0</v>
      </c>
    </row>
    <row r="60" spans="1:63" x14ac:dyDescent="0.25">
      <c r="A60" s="4" t="s">
        <v>197</v>
      </c>
      <c r="B60" s="13"/>
      <c r="C60" s="13" t="s">
        <v>34</v>
      </c>
      <c r="D60" s="13" t="s">
        <v>65</v>
      </c>
      <c r="E60" s="13" t="s">
        <v>75</v>
      </c>
      <c r="F60" s="23">
        <f>L30</f>
        <v>915.64</v>
      </c>
      <c r="G60" s="120"/>
      <c r="H60" s="23">
        <f>F60*AN60</f>
        <v>0</v>
      </c>
      <c r="I60" s="23">
        <f>F60*AO60</f>
        <v>0</v>
      </c>
      <c r="J60" s="23">
        <f>F60*G60</f>
        <v>0</v>
      </c>
      <c r="K60" s="23">
        <v>0</v>
      </c>
      <c r="L60" s="23">
        <f>F60*K60</f>
        <v>0</v>
      </c>
      <c r="M60" s="5"/>
      <c r="Y60" s="33">
        <f>IF(AP60="5",BI60,0)</f>
        <v>0</v>
      </c>
      <c r="AA60" s="33">
        <f>IF(AP60="1",BG60,0)</f>
        <v>0</v>
      </c>
      <c r="AB60" s="33">
        <f>IF(AP60="1",BH60,0)</f>
        <v>0</v>
      </c>
      <c r="AC60" s="33">
        <f>IF(AP60="7",BG60,0)</f>
        <v>0</v>
      </c>
      <c r="AD60" s="33">
        <f>IF(AP60="7",BH60,0)</f>
        <v>0</v>
      </c>
      <c r="AE60" s="33">
        <f>IF(AP60="2",BG60,0)</f>
        <v>0</v>
      </c>
      <c r="AF60" s="33">
        <f>IF(AP60="2",BH60,0)</f>
        <v>0</v>
      </c>
      <c r="AG60" s="33">
        <f>IF(AP60="0",BI60,0)</f>
        <v>0</v>
      </c>
      <c r="AH60" s="30"/>
      <c r="AI60" s="23">
        <f>IF(AM60=0,J60,0)</f>
        <v>0</v>
      </c>
      <c r="AJ60" s="23">
        <f>IF(AM60=15,J60,0)</f>
        <v>0</v>
      </c>
      <c r="AK60" s="23">
        <f>IF(AM60=21,J60,0)</f>
        <v>0</v>
      </c>
      <c r="AM60" s="33">
        <v>21</v>
      </c>
      <c r="AN60" s="33">
        <f>G60*0</f>
        <v>0</v>
      </c>
      <c r="AO60" s="33">
        <f>G60*(1-0)</f>
        <v>0</v>
      </c>
      <c r="AP60" s="34" t="s">
        <v>11</v>
      </c>
      <c r="AU60" s="33">
        <f>AV60+AW60</f>
        <v>0</v>
      </c>
      <c r="AV60" s="33">
        <f>F60*AN60</f>
        <v>0</v>
      </c>
      <c r="AW60" s="33">
        <f>F60*AO60</f>
        <v>0</v>
      </c>
      <c r="AX60" s="35" t="s">
        <v>108</v>
      </c>
      <c r="AY60" s="35" t="s">
        <v>112</v>
      </c>
      <c r="AZ60" s="30" t="s">
        <v>113</v>
      </c>
      <c r="BB60" s="33">
        <f>AV60+AW60</f>
        <v>0</v>
      </c>
      <c r="BC60" s="33">
        <f>G60/(100-BD60)*100</f>
        <v>0</v>
      </c>
      <c r="BD60" s="33">
        <v>0</v>
      </c>
      <c r="BE60" s="33">
        <f>L60</f>
        <v>0</v>
      </c>
      <c r="BG60" s="23">
        <f>F60*AN60</f>
        <v>0</v>
      </c>
      <c r="BH60" s="23">
        <f>F60*AO60</f>
        <v>0</v>
      </c>
      <c r="BI60" s="23">
        <f>F60*G60</f>
        <v>0</v>
      </c>
      <c r="BJ60" s="23" t="s">
        <v>118</v>
      </c>
      <c r="BK60" s="33" t="s">
        <v>33</v>
      </c>
    </row>
    <row r="61" spans="1:63" x14ac:dyDescent="0.25">
      <c r="A61" s="4" t="s">
        <v>207</v>
      </c>
      <c r="B61" s="13"/>
      <c r="C61" s="13" t="s">
        <v>35</v>
      </c>
      <c r="D61" s="13" t="s">
        <v>66</v>
      </c>
      <c r="E61" s="13" t="s">
        <v>75</v>
      </c>
      <c r="F61" s="23">
        <f>F60*10</f>
        <v>9156.4</v>
      </c>
      <c r="G61" s="120"/>
      <c r="H61" s="23">
        <f>F61*AN61</f>
        <v>0</v>
      </c>
      <c r="I61" s="23">
        <f>F61*AO61</f>
        <v>0</v>
      </c>
      <c r="J61" s="23">
        <f>F61*G61</f>
        <v>0</v>
      </c>
      <c r="K61" s="23">
        <v>0</v>
      </c>
      <c r="L61" s="23">
        <f>F61*K61</f>
        <v>0</v>
      </c>
      <c r="M61" s="5"/>
      <c r="Y61" s="33">
        <f>IF(AP61="5",BI61,0)</f>
        <v>0</v>
      </c>
      <c r="AA61" s="33">
        <f>IF(AP61="1",BG61,0)</f>
        <v>0</v>
      </c>
      <c r="AB61" s="33">
        <f>IF(AP61="1",BH61,0)</f>
        <v>0</v>
      </c>
      <c r="AC61" s="33">
        <f>IF(AP61="7",BG61,0)</f>
        <v>0</v>
      </c>
      <c r="AD61" s="33">
        <f>IF(AP61="7",BH61,0)</f>
        <v>0</v>
      </c>
      <c r="AE61" s="33">
        <f>IF(AP61="2",BG61,0)</f>
        <v>0</v>
      </c>
      <c r="AF61" s="33">
        <f>IF(AP61="2",BH61,0)</f>
        <v>0</v>
      </c>
      <c r="AG61" s="33">
        <f>IF(AP61="0",BI61,0)</f>
        <v>0</v>
      </c>
      <c r="AH61" s="30"/>
      <c r="AI61" s="23">
        <f>IF(AM61=0,J61,0)</f>
        <v>0</v>
      </c>
      <c r="AJ61" s="23">
        <f>IF(AM61=15,J61,0)</f>
        <v>0</v>
      </c>
      <c r="AK61" s="23">
        <f>IF(AM61=21,J61,0)</f>
        <v>0</v>
      </c>
      <c r="AM61" s="33">
        <v>21</v>
      </c>
      <c r="AN61" s="33">
        <f>G61*0</f>
        <v>0</v>
      </c>
      <c r="AO61" s="33">
        <f>G61*(1-0)</f>
        <v>0</v>
      </c>
      <c r="AP61" s="34" t="s">
        <v>11</v>
      </c>
      <c r="AU61" s="33">
        <f>AV61+AW61</f>
        <v>0</v>
      </c>
      <c r="AV61" s="33">
        <f>F61*AN61</f>
        <v>0</v>
      </c>
      <c r="AW61" s="33">
        <f>F61*AO61</f>
        <v>0</v>
      </c>
      <c r="AX61" s="35" t="s">
        <v>108</v>
      </c>
      <c r="AY61" s="35" t="s">
        <v>112</v>
      </c>
      <c r="AZ61" s="30" t="s">
        <v>113</v>
      </c>
      <c r="BB61" s="33">
        <f>AV61+AW61</f>
        <v>0</v>
      </c>
      <c r="BC61" s="33">
        <f>G61/(100-BD61)*100</f>
        <v>0</v>
      </c>
      <c r="BD61" s="33">
        <v>0</v>
      </c>
      <c r="BE61" s="33">
        <f>L61</f>
        <v>0</v>
      </c>
      <c r="BG61" s="23">
        <f>F61*AN61</f>
        <v>0</v>
      </c>
      <c r="BH61" s="23">
        <f>F61*AO61</f>
        <v>0</v>
      </c>
      <c r="BI61" s="23">
        <f>F61*G61</f>
        <v>0</v>
      </c>
      <c r="BJ61" s="23" t="s">
        <v>118</v>
      </c>
      <c r="BK61" s="33" t="s">
        <v>33</v>
      </c>
    </row>
    <row r="62" spans="1:63" x14ac:dyDescent="0.25">
      <c r="A62" s="5"/>
      <c r="D62" s="19" t="s">
        <v>179</v>
      </c>
      <c r="F62" s="24">
        <f>F60</f>
        <v>915.64</v>
      </c>
      <c r="M62" s="5"/>
    </row>
    <row r="63" spans="1:63" x14ac:dyDescent="0.25">
      <c r="A63" s="8"/>
      <c r="B63" s="8"/>
      <c r="C63" s="8"/>
      <c r="D63" s="8"/>
      <c r="E63" s="8"/>
      <c r="F63" s="8"/>
      <c r="G63" s="8"/>
      <c r="H63" s="127" t="s">
        <v>85</v>
      </c>
      <c r="I63" s="128"/>
      <c r="J63" s="39">
        <f>ROUND(J12+J27+J30+J37+J48+J51+J56+J59,0)</f>
        <v>0</v>
      </c>
      <c r="K63" s="8"/>
      <c r="L63" s="8"/>
    </row>
    <row r="64" spans="1:63" ht="11.25" customHeight="1" x14ac:dyDescent="0.25">
      <c r="A64" s="9" t="s">
        <v>18</v>
      </c>
    </row>
    <row r="65" spans="1:12" x14ac:dyDescent="0.25">
      <c r="A65" s="129" t="s">
        <v>19</v>
      </c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</row>
  </sheetData>
  <sheetProtection algorithmName="SHA-512" hashValue="/zmRUb1G1SYO9jl1QMRPWL4DR6rWInTNVxfRdDvigNn6Hx/Z9HwzgG+aty8v129q2E/ipg1LX5ah3XoRhAFKew==" saltValue="ZHkUTaVpql5lRTytQFHrTQ==" spinCount="100000" sheet="1" objects="1" scenarios="1"/>
  <mergeCells count="43">
    <mergeCell ref="A1:L1"/>
    <mergeCell ref="A2:C3"/>
    <mergeCell ref="D2:D3"/>
    <mergeCell ref="E2:F3"/>
    <mergeCell ref="G2:G3"/>
    <mergeCell ref="H2:H3"/>
    <mergeCell ref="I2:L3"/>
    <mergeCell ref="I6:L7"/>
    <mergeCell ref="A4:C5"/>
    <mergeCell ref="D4:D5"/>
    <mergeCell ref="E4:F5"/>
    <mergeCell ref="G4:G5"/>
    <mergeCell ref="H4:H5"/>
    <mergeCell ref="I4:L5"/>
    <mergeCell ref="A6:C7"/>
    <mergeCell ref="D6:D7"/>
    <mergeCell ref="E6:F7"/>
    <mergeCell ref="G6:G7"/>
    <mergeCell ref="H6:H7"/>
    <mergeCell ref="D20:L20"/>
    <mergeCell ref="A8:C9"/>
    <mergeCell ref="D8:D9"/>
    <mergeCell ref="E8:F9"/>
    <mergeCell ref="G8:G9"/>
    <mergeCell ref="H8:H9"/>
    <mergeCell ref="I8:L9"/>
    <mergeCell ref="H10:J10"/>
    <mergeCell ref="K10:L10"/>
    <mergeCell ref="D14:L14"/>
    <mergeCell ref="D16:L16"/>
    <mergeCell ref="D18:L18"/>
    <mergeCell ref="D22:L22"/>
    <mergeCell ref="D24:L24"/>
    <mergeCell ref="D26:L26"/>
    <mergeCell ref="D29:L29"/>
    <mergeCell ref="D32:L32"/>
    <mergeCell ref="D34:L34"/>
    <mergeCell ref="D36:L36"/>
    <mergeCell ref="D39:L39"/>
    <mergeCell ref="H63:I63"/>
    <mergeCell ref="A65:L65"/>
    <mergeCell ref="D53:L53"/>
    <mergeCell ref="D55:L55"/>
  </mergeCells>
  <pageMargins left="0.39400000000000002" right="0.39400000000000002" top="0.59099999999999997" bottom="0.59099999999999997" header="0.5" footer="0.5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workbookViewId="0">
      <pane ySplit="10" topLeftCell="A11" activePane="bottomLeft" state="frozenSplit"/>
      <selection pane="bottomLeft" activeCell="B22" sqref="B22"/>
    </sheetView>
  </sheetViews>
  <sheetFormatPr defaultColWidth="11.5546875" defaultRowHeight="13.2" x14ac:dyDescent="0.25"/>
  <cols>
    <col min="1" max="2" width="16.5546875" customWidth="1"/>
    <col min="3" max="3" width="68.5546875" customWidth="1"/>
    <col min="4" max="4" width="22.109375" customWidth="1"/>
    <col min="5" max="5" width="21" customWidth="1"/>
    <col min="6" max="6" width="20.88671875" customWidth="1"/>
    <col min="7" max="7" width="19.6640625" customWidth="1"/>
    <col min="8" max="9" width="0" hidden="1" customWidth="1"/>
  </cols>
  <sheetData>
    <row r="1" spans="1:9" ht="72.900000000000006" customHeight="1" x14ac:dyDescent="0.25">
      <c r="A1" s="145" t="s">
        <v>120</v>
      </c>
      <c r="B1" s="146"/>
      <c r="C1" s="146"/>
      <c r="D1" s="146"/>
      <c r="E1" s="146"/>
      <c r="F1" s="146"/>
      <c r="G1" s="146"/>
    </row>
    <row r="2" spans="1:9" x14ac:dyDescent="0.25">
      <c r="A2" s="147" t="s">
        <v>1</v>
      </c>
      <c r="B2" s="149" t="str">
        <f>'Stavební rozpočet'!D2</f>
        <v>Rekonstrukce komunikace ul. Romana Havelky, Jihlava</v>
      </c>
      <c r="C2" s="128"/>
      <c r="D2" s="152" t="s">
        <v>79</v>
      </c>
      <c r="E2" s="152" t="str">
        <f>'Stavební rozpočet'!I2</f>
        <v>Statutární město Jihlava</v>
      </c>
      <c r="F2" s="148"/>
      <c r="G2" s="154"/>
      <c r="H2" s="5"/>
    </row>
    <row r="3" spans="1:9" x14ac:dyDescent="0.25">
      <c r="A3" s="143"/>
      <c r="B3" s="150"/>
      <c r="C3" s="150"/>
      <c r="D3" s="130"/>
      <c r="E3" s="130"/>
      <c r="F3" s="130"/>
      <c r="G3" s="144"/>
      <c r="H3" s="5"/>
    </row>
    <row r="4" spans="1:9" x14ac:dyDescent="0.25">
      <c r="A4" s="135" t="s">
        <v>2</v>
      </c>
      <c r="B4" s="129" t="str">
        <f>'Stavební rozpočet'!D4</f>
        <v xml:space="preserve"> </v>
      </c>
      <c r="C4" s="130"/>
      <c r="D4" s="129" t="s">
        <v>80</v>
      </c>
      <c r="E4" s="129" t="str">
        <f>'Stavební rozpočet'!I4</f>
        <v> </v>
      </c>
      <c r="F4" s="130"/>
      <c r="G4" s="144"/>
      <c r="H4" s="5"/>
    </row>
    <row r="5" spans="1:9" x14ac:dyDescent="0.25">
      <c r="A5" s="143"/>
      <c r="B5" s="130"/>
      <c r="C5" s="130"/>
      <c r="D5" s="130"/>
      <c r="E5" s="130"/>
      <c r="F5" s="130"/>
      <c r="G5" s="144"/>
      <c r="H5" s="5"/>
    </row>
    <row r="6" spans="1:9" x14ac:dyDescent="0.25">
      <c r="A6" s="135" t="s">
        <v>3</v>
      </c>
      <c r="B6" s="129" t="str">
        <f>'Stavební rozpočet'!D6</f>
        <v>Jihlava</v>
      </c>
      <c r="C6" s="130"/>
      <c r="D6" s="129" t="s">
        <v>81</v>
      </c>
      <c r="E6" s="129" t="str">
        <f>'Stavební rozpočet'!I6</f>
        <v>dle výběrového řízení</v>
      </c>
      <c r="F6" s="130"/>
      <c r="G6" s="144"/>
      <c r="H6" s="5"/>
    </row>
    <row r="7" spans="1:9" x14ac:dyDescent="0.25">
      <c r="A7" s="143"/>
      <c r="B7" s="130"/>
      <c r="C7" s="130"/>
      <c r="D7" s="130"/>
      <c r="E7" s="130"/>
      <c r="F7" s="130"/>
      <c r="G7" s="144"/>
      <c r="H7" s="5"/>
    </row>
    <row r="8" spans="1:9" x14ac:dyDescent="0.25">
      <c r="A8" s="135" t="s">
        <v>82</v>
      </c>
      <c r="B8" s="129" t="str">
        <f>'Stavební rozpočet'!I8</f>
        <v>Ing. Bc. Karel Trojan</v>
      </c>
      <c r="C8" s="130"/>
      <c r="D8" s="138" t="s">
        <v>70</v>
      </c>
      <c r="E8" s="129" t="str">
        <f>'Stavební rozpočet'!G8</f>
        <v>07.03.2025</v>
      </c>
      <c r="F8" s="130"/>
      <c r="G8" s="144"/>
      <c r="H8" s="5"/>
    </row>
    <row r="9" spans="1:9" ht="13.8" thickBot="1" x14ac:dyDescent="0.3">
      <c r="A9" s="136"/>
      <c r="B9" s="137"/>
      <c r="C9" s="137"/>
      <c r="D9" s="137"/>
      <c r="E9" s="137"/>
      <c r="F9" s="137"/>
      <c r="G9" s="153"/>
      <c r="H9" s="5"/>
    </row>
    <row r="10" spans="1:9" ht="13.8" thickBot="1" x14ac:dyDescent="0.3">
      <c r="A10" s="40" t="s">
        <v>20</v>
      </c>
      <c r="B10" s="44" t="s">
        <v>21</v>
      </c>
      <c r="C10" s="47" t="s">
        <v>121</v>
      </c>
      <c r="D10" s="48" t="s">
        <v>122</v>
      </c>
      <c r="E10" s="48" t="s">
        <v>123</v>
      </c>
      <c r="F10" s="48" t="s">
        <v>124</v>
      </c>
      <c r="G10" s="49" t="s">
        <v>125</v>
      </c>
      <c r="H10" s="32"/>
    </row>
    <row r="11" spans="1:9" x14ac:dyDescent="0.25">
      <c r="A11" s="41"/>
      <c r="B11" s="45" t="s">
        <v>22</v>
      </c>
      <c r="C11" s="45" t="s">
        <v>39</v>
      </c>
      <c r="D11" s="51">
        <f>'Stavební rozpočet'!H12</f>
        <v>0</v>
      </c>
      <c r="E11" s="51">
        <f>'Stavební rozpočet'!I12</f>
        <v>0</v>
      </c>
      <c r="F11" s="51">
        <f>'Stavební rozpočet'!J12</f>
        <v>0</v>
      </c>
      <c r="G11" s="53">
        <f>'Stavební rozpočet'!L12</f>
        <v>0</v>
      </c>
      <c r="H11" s="50" t="s">
        <v>126</v>
      </c>
      <c r="I11" s="33">
        <f t="shared" ref="I11:I18" si="0">IF(H11="F",0,F11)</f>
        <v>0</v>
      </c>
    </row>
    <row r="12" spans="1:9" x14ac:dyDescent="0.25">
      <c r="A12" s="42"/>
      <c r="B12" s="20" t="s">
        <v>24</v>
      </c>
      <c r="C12" s="20" t="s">
        <v>53</v>
      </c>
      <c r="D12" s="33">
        <f>'Stavební rozpočet'!H27</f>
        <v>0</v>
      </c>
      <c r="E12" s="33">
        <f>'Stavební rozpočet'!I27</f>
        <v>0</v>
      </c>
      <c r="F12" s="33">
        <f>'Stavební rozpočet'!J27</f>
        <v>0</v>
      </c>
      <c r="G12" s="54">
        <f>'Stavební rozpočet'!L27</f>
        <v>0</v>
      </c>
      <c r="H12" s="50" t="s">
        <v>126</v>
      </c>
      <c r="I12" s="33">
        <f t="shared" si="0"/>
        <v>0</v>
      </c>
    </row>
    <row r="13" spans="1:9" x14ac:dyDescent="0.25">
      <c r="A13" s="42"/>
      <c r="B13" s="20" t="s">
        <v>16</v>
      </c>
      <c r="C13" s="20" t="s">
        <v>56</v>
      </c>
      <c r="D13" s="33">
        <f>'Stavební rozpočet'!H30</f>
        <v>0</v>
      </c>
      <c r="E13" s="33">
        <f>'Stavební rozpočet'!I30</f>
        <v>0</v>
      </c>
      <c r="F13" s="33">
        <f>'Stavební rozpočet'!J30</f>
        <v>0</v>
      </c>
      <c r="G13" s="54">
        <f>'Stavební rozpočet'!L30</f>
        <v>915.64</v>
      </c>
      <c r="H13" s="50" t="s">
        <v>126</v>
      </c>
      <c r="I13" s="33">
        <f t="shared" si="0"/>
        <v>0</v>
      </c>
    </row>
    <row r="14" spans="1:9" x14ac:dyDescent="0.25">
      <c r="A14" s="42"/>
      <c r="B14" s="20" t="s">
        <v>27</v>
      </c>
      <c r="C14" s="90" t="s">
        <v>57</v>
      </c>
      <c r="D14" s="33">
        <f>'Stavební rozpočet'!H37</f>
        <v>0</v>
      </c>
      <c r="E14" s="33">
        <f>'Stavební rozpočet'!I37</f>
        <v>0</v>
      </c>
      <c r="F14" s="33">
        <f>'Stavební rozpočet'!J37</f>
        <v>0</v>
      </c>
      <c r="G14" s="54">
        <f>'Stavební rozpočet'!L37</f>
        <v>1127.8035699999998</v>
      </c>
      <c r="H14" s="50" t="s">
        <v>126</v>
      </c>
      <c r="I14" s="33">
        <f t="shared" si="0"/>
        <v>0</v>
      </c>
    </row>
    <row r="15" spans="1:9" s="81" customFormat="1" x14ac:dyDescent="0.25">
      <c r="A15" s="42"/>
      <c r="B15" s="94" t="s">
        <v>181</v>
      </c>
      <c r="C15" s="90" t="s">
        <v>182</v>
      </c>
      <c r="D15" s="33">
        <f>'Stavební rozpočet'!H48</f>
        <v>0</v>
      </c>
      <c r="E15" s="33">
        <f>'Stavební rozpočet'!I48</f>
        <v>0</v>
      </c>
      <c r="F15" s="33">
        <f>'Stavební rozpočet'!J48</f>
        <v>0</v>
      </c>
      <c r="G15" s="54">
        <f>'Stavební rozpočet'!L48</f>
        <v>0.86</v>
      </c>
      <c r="H15" s="50"/>
      <c r="I15" s="33"/>
    </row>
    <row r="16" spans="1:9" x14ac:dyDescent="0.25">
      <c r="A16" s="42"/>
      <c r="B16" s="20" t="s">
        <v>29</v>
      </c>
      <c r="C16" s="20" t="s">
        <v>60</v>
      </c>
      <c r="D16" s="33">
        <f>'Stavební rozpočet'!H51</f>
        <v>0</v>
      </c>
      <c r="E16" s="33">
        <f>'Stavební rozpočet'!I51</f>
        <v>0</v>
      </c>
      <c r="F16" s="33">
        <f>'Stavební rozpočet'!J51</f>
        <v>0</v>
      </c>
      <c r="G16" s="54">
        <f>'Stavební rozpočet'!L51</f>
        <v>0.05</v>
      </c>
      <c r="H16" s="50" t="s">
        <v>126</v>
      </c>
      <c r="I16" s="33">
        <f t="shared" si="0"/>
        <v>0</v>
      </c>
    </row>
    <row r="17" spans="1:9" x14ac:dyDescent="0.25">
      <c r="A17" s="42"/>
      <c r="B17" s="20" t="s">
        <v>31</v>
      </c>
      <c r="C17" s="20" t="s">
        <v>62</v>
      </c>
      <c r="D17" s="33">
        <f>'Stavební rozpočet'!H56</f>
        <v>0</v>
      </c>
      <c r="E17" s="33">
        <f>'Stavební rozpočet'!I56</f>
        <v>0</v>
      </c>
      <c r="F17" s="33">
        <f>'Stavební rozpočet'!J56</f>
        <v>0</v>
      </c>
      <c r="G17" s="54">
        <f>'Stavební rozpočet'!L56</f>
        <v>0</v>
      </c>
      <c r="H17" s="50" t="s">
        <v>126</v>
      </c>
      <c r="I17" s="33">
        <f t="shared" si="0"/>
        <v>0</v>
      </c>
    </row>
    <row r="18" spans="1:9" x14ac:dyDescent="0.25">
      <c r="A18" s="43"/>
      <c r="B18" s="46" t="s">
        <v>33</v>
      </c>
      <c r="C18" s="46" t="s">
        <v>64</v>
      </c>
      <c r="D18" s="52">
        <f>'Stavební rozpočet'!H59</f>
        <v>0</v>
      </c>
      <c r="E18" s="52">
        <f>'Stavební rozpočet'!I59</f>
        <v>0</v>
      </c>
      <c r="F18" s="52">
        <f>'Stavební rozpočet'!J59</f>
        <v>0</v>
      </c>
      <c r="G18" s="55">
        <f>'Stavební rozpočet'!L59</f>
        <v>0</v>
      </c>
      <c r="H18" s="50" t="s">
        <v>126</v>
      </c>
      <c r="I18" s="33">
        <f t="shared" si="0"/>
        <v>0</v>
      </c>
    </row>
    <row r="19" spans="1:9" x14ac:dyDescent="0.25">
      <c r="A19" s="84" t="s">
        <v>85</v>
      </c>
      <c r="B19" s="8"/>
      <c r="C19" s="8"/>
      <c r="D19" s="92">
        <f>SUM(D11:D18)</f>
        <v>0</v>
      </c>
      <c r="E19" s="85">
        <f>SUM(E11:E18)</f>
        <v>0</v>
      </c>
      <c r="F19" s="39">
        <f>ROUND(F11+F12+F13+F14+F15+F16+F17+F18,0)</f>
        <v>0</v>
      </c>
      <c r="G19" s="8"/>
    </row>
    <row r="20" spans="1:9" x14ac:dyDescent="0.25">
      <c r="E20" s="86"/>
    </row>
    <row r="21" spans="1:9" x14ac:dyDescent="0.25">
      <c r="D21" s="86"/>
      <c r="E21" s="86"/>
    </row>
    <row r="22" spans="1:9" x14ac:dyDescent="0.25">
      <c r="E22" s="86"/>
    </row>
    <row r="23" spans="1:9" x14ac:dyDescent="0.25">
      <c r="E23" s="86"/>
    </row>
    <row r="24" spans="1:9" x14ac:dyDescent="0.25">
      <c r="E24" s="86"/>
    </row>
    <row r="25" spans="1:9" x14ac:dyDescent="0.25">
      <c r="E25" s="86"/>
    </row>
  </sheetData>
  <sheetProtection algorithmName="SHA-512" hashValue="YqNLzo34VoXQkBpleSVI/py4EsbUZRlom2PSMTQ3eGvzTUpPK06QwWbGDXJkvWhz8D2+00DouyO8dblfjBRc2A==" saltValue="vNPYe+qhxzIMWLYqBOfXcA==" spinCount="100000" sheet="1" objects="1" scenarios="1"/>
  <mergeCells count="17">
    <mergeCell ref="A4:A5"/>
    <mergeCell ref="B4:C5"/>
    <mergeCell ref="D4:D5"/>
    <mergeCell ref="E4:G5"/>
    <mergeCell ref="A1:G1"/>
    <mergeCell ref="A2:A3"/>
    <mergeCell ref="B2:C3"/>
    <mergeCell ref="D2:D3"/>
    <mergeCell ref="E2:G3"/>
    <mergeCell ref="A6:A7"/>
    <mergeCell ref="B6:C7"/>
    <mergeCell ref="D6:D7"/>
    <mergeCell ref="E6:G7"/>
    <mergeCell ref="A8:A9"/>
    <mergeCell ref="B8:C9"/>
    <mergeCell ref="D8:D9"/>
    <mergeCell ref="E8:G9"/>
  </mergeCells>
  <pageMargins left="0.39400000000000002" right="0.39400000000000002" top="0.59099999999999997" bottom="0.59099999999999997" header="0.5" footer="0.5"/>
  <pageSetup paperSize="0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workbookViewId="0">
      <selection activeCell="I10" sqref="I10:I11"/>
    </sheetView>
  </sheetViews>
  <sheetFormatPr defaultColWidth="11.5546875" defaultRowHeight="13.2" x14ac:dyDescent="0.25"/>
  <cols>
    <col min="1" max="1" width="9.109375" customWidth="1"/>
    <col min="2" max="2" width="12.88671875" customWidth="1"/>
    <col min="3" max="3" width="22.88671875" customWidth="1"/>
    <col min="4" max="4" width="10" customWidth="1"/>
    <col min="5" max="5" width="14" customWidth="1"/>
    <col min="6" max="6" width="22.88671875" customWidth="1"/>
    <col min="7" max="7" width="9.109375" customWidth="1"/>
    <col min="8" max="8" width="12.88671875" customWidth="1"/>
    <col min="9" max="9" width="22.88671875" customWidth="1"/>
  </cols>
  <sheetData>
    <row r="1" spans="1:10" ht="72.900000000000006" customHeight="1" x14ac:dyDescent="0.25">
      <c r="A1" s="69"/>
      <c r="B1" s="15"/>
      <c r="C1" s="178" t="s">
        <v>142</v>
      </c>
      <c r="D1" s="146"/>
      <c r="E1" s="146"/>
      <c r="F1" s="146"/>
      <c r="G1" s="146"/>
      <c r="H1" s="146"/>
      <c r="I1" s="146"/>
    </row>
    <row r="2" spans="1:10" x14ac:dyDescent="0.25">
      <c r="A2" s="147" t="s">
        <v>1</v>
      </c>
      <c r="B2" s="148"/>
      <c r="C2" s="149" t="str">
        <f>'Stavební rozpočet'!D2</f>
        <v>Rekonstrukce komunikace ul. Romana Havelky, Jihlava</v>
      </c>
      <c r="D2" s="128"/>
      <c r="E2" s="152" t="s">
        <v>79</v>
      </c>
      <c r="F2" s="152" t="str">
        <f>'Stavební rozpočet'!I2</f>
        <v>Statutární město Jihlava</v>
      </c>
      <c r="G2" s="148"/>
      <c r="H2" s="152" t="s">
        <v>167</v>
      </c>
      <c r="I2" s="179" t="s">
        <v>171</v>
      </c>
      <c r="J2" s="5"/>
    </row>
    <row r="3" spans="1:10" x14ac:dyDescent="0.25">
      <c r="A3" s="143"/>
      <c r="B3" s="130"/>
      <c r="C3" s="150"/>
      <c r="D3" s="150"/>
      <c r="E3" s="130"/>
      <c r="F3" s="130"/>
      <c r="G3" s="130"/>
      <c r="H3" s="130"/>
      <c r="I3" s="144"/>
      <c r="J3" s="5"/>
    </row>
    <row r="4" spans="1:10" x14ac:dyDescent="0.25">
      <c r="A4" s="135" t="s">
        <v>2</v>
      </c>
      <c r="B4" s="130"/>
      <c r="C4" s="129" t="str">
        <f>'Stavební rozpočet'!D4</f>
        <v xml:space="preserve"> </v>
      </c>
      <c r="D4" s="130"/>
      <c r="E4" s="129" t="s">
        <v>80</v>
      </c>
      <c r="F4" s="129" t="str">
        <f>'Stavební rozpočet'!I4</f>
        <v> </v>
      </c>
      <c r="G4" s="130"/>
      <c r="H4" s="129" t="s">
        <v>167</v>
      </c>
      <c r="I4" s="1"/>
      <c r="J4" s="5"/>
    </row>
    <row r="5" spans="1:10" x14ac:dyDescent="0.25">
      <c r="A5" s="143"/>
      <c r="B5" s="130"/>
      <c r="C5" s="130"/>
      <c r="D5" s="130"/>
      <c r="E5" s="130"/>
      <c r="F5" s="130"/>
      <c r="G5" s="130"/>
      <c r="H5" s="130"/>
      <c r="I5" s="144"/>
      <c r="J5" s="5"/>
    </row>
    <row r="6" spans="1:10" x14ac:dyDescent="0.25">
      <c r="A6" s="135" t="s">
        <v>3</v>
      </c>
      <c r="B6" s="130"/>
      <c r="C6" s="129" t="str">
        <f>'Stavební rozpočet'!D6</f>
        <v>Jihlava</v>
      </c>
      <c r="D6" s="130"/>
      <c r="E6" s="129" t="s">
        <v>81</v>
      </c>
      <c r="F6" s="129" t="str">
        <f>'Stavební rozpočet'!I6</f>
        <v>dle výběrového řízení</v>
      </c>
      <c r="G6" s="130"/>
      <c r="H6" s="129" t="s">
        <v>167</v>
      </c>
      <c r="I6" s="1"/>
      <c r="J6" s="5"/>
    </row>
    <row r="7" spans="1:10" x14ac:dyDescent="0.25">
      <c r="A7" s="143"/>
      <c r="B7" s="130"/>
      <c r="C7" s="130"/>
      <c r="D7" s="130"/>
      <c r="E7" s="130"/>
      <c r="F7" s="130"/>
      <c r="G7" s="130"/>
      <c r="H7" s="130"/>
      <c r="I7" s="144"/>
      <c r="J7" s="5"/>
    </row>
    <row r="8" spans="1:10" x14ac:dyDescent="0.25">
      <c r="A8" s="135" t="s">
        <v>68</v>
      </c>
      <c r="B8" s="130"/>
      <c r="C8" s="129" t="str">
        <f>'Stavební rozpočet'!G4</f>
        <v xml:space="preserve"> </v>
      </c>
      <c r="D8" s="130"/>
      <c r="E8" s="129" t="s">
        <v>69</v>
      </c>
      <c r="F8" s="129" t="str">
        <f>'Stavební rozpočet'!G6</f>
        <v xml:space="preserve"> </v>
      </c>
      <c r="G8" s="130"/>
      <c r="H8" s="138" t="s">
        <v>168</v>
      </c>
      <c r="I8" s="1" t="s">
        <v>207</v>
      </c>
      <c r="J8" s="5"/>
    </row>
    <row r="9" spans="1:10" x14ac:dyDescent="0.25">
      <c r="A9" s="143"/>
      <c r="B9" s="130"/>
      <c r="C9" s="130"/>
      <c r="D9" s="130"/>
      <c r="E9" s="130"/>
      <c r="F9" s="130"/>
      <c r="G9" s="130"/>
      <c r="H9" s="130"/>
      <c r="I9" s="144"/>
      <c r="J9" s="5"/>
    </row>
    <row r="10" spans="1:10" x14ac:dyDescent="0.25">
      <c r="A10" s="135" t="s">
        <v>4</v>
      </c>
      <c r="B10" s="130"/>
      <c r="C10" s="129" t="str">
        <f>'Stavební rozpočet'!D8</f>
        <v xml:space="preserve"> </v>
      </c>
      <c r="D10" s="130"/>
      <c r="E10" s="129" t="s">
        <v>82</v>
      </c>
      <c r="F10" s="129" t="str">
        <f>'Stavební rozpočet'!I8</f>
        <v>Ing. Bc. Karel Trojan</v>
      </c>
      <c r="G10" s="130"/>
      <c r="H10" s="138" t="s">
        <v>169</v>
      </c>
      <c r="I10" s="174" t="str">
        <f>'Stavební rozpočet'!G8</f>
        <v>07.03.2025</v>
      </c>
      <c r="J10" s="5"/>
    </row>
    <row r="11" spans="1:10" x14ac:dyDescent="0.25">
      <c r="A11" s="176"/>
      <c r="B11" s="177"/>
      <c r="C11" s="177"/>
      <c r="D11" s="177"/>
      <c r="E11" s="177"/>
      <c r="F11" s="177"/>
      <c r="G11" s="177"/>
      <c r="H11" s="177"/>
      <c r="I11" s="175"/>
      <c r="J11" s="5"/>
    </row>
    <row r="12" spans="1:10" ht="23.4" customHeight="1" x14ac:dyDescent="0.25">
      <c r="A12" s="170" t="s">
        <v>127</v>
      </c>
      <c r="B12" s="171"/>
      <c r="C12" s="171"/>
      <c r="D12" s="171"/>
      <c r="E12" s="171"/>
      <c r="F12" s="171"/>
      <c r="G12" s="171"/>
      <c r="H12" s="171"/>
      <c r="I12" s="171"/>
    </row>
    <row r="13" spans="1:10" ht="26.4" customHeight="1" x14ac:dyDescent="0.25">
      <c r="A13" s="56" t="s">
        <v>128</v>
      </c>
      <c r="B13" s="172" t="s">
        <v>140</v>
      </c>
      <c r="C13" s="173"/>
      <c r="D13" s="56" t="s">
        <v>143</v>
      </c>
      <c r="E13" s="172" t="s">
        <v>152</v>
      </c>
      <c r="F13" s="173"/>
      <c r="G13" s="56" t="s">
        <v>153</v>
      </c>
      <c r="H13" s="172" t="s">
        <v>170</v>
      </c>
      <c r="I13" s="173"/>
      <c r="J13" s="5"/>
    </row>
    <row r="14" spans="1:10" ht="15.15" customHeight="1" x14ac:dyDescent="0.25">
      <c r="A14" s="57" t="s">
        <v>129</v>
      </c>
      <c r="B14" s="61" t="s">
        <v>141</v>
      </c>
      <c r="C14" s="64">
        <f>'Stavební rozpočet - součet'!D19</f>
        <v>0</v>
      </c>
      <c r="D14" s="168" t="s">
        <v>144</v>
      </c>
      <c r="E14" s="169"/>
      <c r="F14" s="64">
        <v>0</v>
      </c>
      <c r="G14" s="168" t="s">
        <v>154</v>
      </c>
      <c r="H14" s="169"/>
      <c r="I14" s="64">
        <v>0</v>
      </c>
      <c r="J14" s="5"/>
    </row>
    <row r="15" spans="1:10" ht="15.15" customHeight="1" x14ac:dyDescent="0.25">
      <c r="A15" s="58"/>
      <c r="B15" s="61" t="s">
        <v>89</v>
      </c>
      <c r="C15" s="64">
        <f>'Stavební rozpočet - součet'!E11+'Stavební rozpočet - součet'!E12+'Stavební rozpočet - součet'!E13+'Stavební rozpočet - součet'!E14+'Stavební rozpočet - součet'!E15+'Stavební rozpočet - součet'!E16</f>
        <v>0</v>
      </c>
      <c r="D15" s="168" t="s">
        <v>145</v>
      </c>
      <c r="E15" s="169"/>
      <c r="F15" s="64">
        <v>0</v>
      </c>
      <c r="G15" s="168" t="s">
        <v>155</v>
      </c>
      <c r="H15" s="169"/>
      <c r="I15" s="64">
        <v>0</v>
      </c>
      <c r="J15" s="5"/>
    </row>
    <row r="16" spans="1:10" ht="15.15" customHeight="1" x14ac:dyDescent="0.25">
      <c r="A16" s="57" t="s">
        <v>130</v>
      </c>
      <c r="B16" s="61" t="s">
        <v>141</v>
      </c>
      <c r="C16" s="64">
        <f>SUM('Stavební rozpočet'!AC12:AC62)</f>
        <v>0</v>
      </c>
      <c r="D16" s="168" t="s">
        <v>146</v>
      </c>
      <c r="E16" s="169"/>
      <c r="F16" s="64">
        <v>0</v>
      </c>
      <c r="G16" s="168" t="s">
        <v>156</v>
      </c>
      <c r="H16" s="169"/>
      <c r="I16" s="64">
        <v>0</v>
      </c>
      <c r="J16" s="5"/>
    </row>
    <row r="17" spans="1:10" ht="15.15" customHeight="1" x14ac:dyDescent="0.25">
      <c r="A17" s="58"/>
      <c r="B17" s="61" t="s">
        <v>89</v>
      </c>
      <c r="C17" s="64">
        <f>SUM('Stavební rozpočet'!AD12:AD62)</f>
        <v>0</v>
      </c>
      <c r="D17" s="168"/>
      <c r="E17" s="169"/>
      <c r="F17" s="65"/>
      <c r="G17" s="168" t="s">
        <v>157</v>
      </c>
      <c r="H17" s="169"/>
      <c r="I17" s="64">
        <v>0</v>
      </c>
      <c r="J17" s="5"/>
    </row>
    <row r="18" spans="1:10" ht="15.15" customHeight="1" x14ac:dyDescent="0.25">
      <c r="A18" s="57" t="s">
        <v>131</v>
      </c>
      <c r="B18" s="61" t="s">
        <v>141</v>
      </c>
      <c r="C18" s="64">
        <f>SUM('Stavební rozpočet'!AE12:AE62)</f>
        <v>0</v>
      </c>
      <c r="D18" s="168"/>
      <c r="E18" s="169"/>
      <c r="F18" s="65"/>
      <c r="G18" s="168" t="s">
        <v>158</v>
      </c>
      <c r="H18" s="169"/>
      <c r="I18" s="64">
        <v>0</v>
      </c>
      <c r="J18" s="5"/>
    </row>
    <row r="19" spans="1:10" ht="15.15" customHeight="1" x14ac:dyDescent="0.25">
      <c r="A19" s="58"/>
      <c r="B19" s="61" t="s">
        <v>89</v>
      </c>
      <c r="C19" s="64">
        <f>SUM('Stavební rozpočet'!AF12:AF62)</f>
        <v>0</v>
      </c>
      <c r="D19" s="168"/>
      <c r="E19" s="169"/>
      <c r="F19" s="65"/>
      <c r="G19" s="168" t="s">
        <v>159</v>
      </c>
      <c r="H19" s="169"/>
      <c r="I19" s="64">
        <v>0</v>
      </c>
      <c r="J19" s="5"/>
    </row>
    <row r="20" spans="1:10" ht="15.15" customHeight="1" x14ac:dyDescent="0.25">
      <c r="A20" s="166" t="s">
        <v>132</v>
      </c>
      <c r="B20" s="167"/>
      <c r="C20" s="64">
        <f>SUM('Stavební rozpočet'!AG12:AG62)</f>
        <v>0</v>
      </c>
      <c r="D20" s="168"/>
      <c r="E20" s="169"/>
      <c r="F20" s="65"/>
      <c r="G20" s="168"/>
      <c r="H20" s="169"/>
      <c r="I20" s="65"/>
      <c r="J20" s="5"/>
    </row>
    <row r="21" spans="1:10" ht="15.15" customHeight="1" x14ac:dyDescent="0.25">
      <c r="A21" s="166" t="s">
        <v>133</v>
      </c>
      <c r="B21" s="167"/>
      <c r="C21" s="64">
        <f>'Stavební rozpočet - součet'!E17+'Stavební rozpočet - součet'!E18</f>
        <v>0</v>
      </c>
      <c r="D21" s="168"/>
      <c r="E21" s="169"/>
      <c r="F21" s="65"/>
      <c r="G21" s="168"/>
      <c r="H21" s="169"/>
      <c r="I21" s="65"/>
      <c r="J21" s="5"/>
    </row>
    <row r="22" spans="1:10" ht="16.649999999999999" customHeight="1" x14ac:dyDescent="0.25">
      <c r="A22" s="166" t="s">
        <v>134</v>
      </c>
      <c r="B22" s="167"/>
      <c r="C22" s="64">
        <f>ROUND(SUM(C14:C21),0)</f>
        <v>0</v>
      </c>
      <c r="D22" s="166" t="s">
        <v>147</v>
      </c>
      <c r="E22" s="167"/>
      <c r="F22" s="64">
        <f>SUM(F14:F21)</f>
        <v>0</v>
      </c>
      <c r="G22" s="166" t="s">
        <v>160</v>
      </c>
      <c r="H22" s="167"/>
      <c r="I22" s="64">
        <f>SUM(I14:I21)</f>
        <v>0</v>
      </c>
      <c r="J22" s="5"/>
    </row>
    <row r="23" spans="1:10" ht="15.15" customHeight="1" x14ac:dyDescent="0.25">
      <c r="A23" s="8"/>
      <c r="B23" s="8"/>
      <c r="C23" s="63"/>
      <c r="D23" s="166" t="s">
        <v>148</v>
      </c>
      <c r="E23" s="167"/>
      <c r="F23" s="66">
        <v>0</v>
      </c>
      <c r="G23" s="166" t="s">
        <v>161</v>
      </c>
      <c r="H23" s="167"/>
      <c r="I23" s="64">
        <v>0</v>
      </c>
      <c r="J23" s="5"/>
    </row>
    <row r="24" spans="1:10" ht="15.15" customHeight="1" x14ac:dyDescent="0.25">
      <c r="D24" s="8"/>
      <c r="E24" s="8"/>
      <c r="F24" s="67"/>
      <c r="G24" s="166" t="s">
        <v>162</v>
      </c>
      <c r="H24" s="167"/>
      <c r="I24" s="64">
        <v>0</v>
      </c>
      <c r="J24" s="5"/>
    </row>
    <row r="25" spans="1:10" ht="15.15" customHeight="1" x14ac:dyDescent="0.25">
      <c r="F25" s="31"/>
      <c r="G25" s="166" t="s">
        <v>163</v>
      </c>
      <c r="H25" s="167"/>
      <c r="I25" s="64">
        <v>0</v>
      </c>
      <c r="J25" s="5"/>
    </row>
    <row r="26" spans="1:10" x14ac:dyDescent="0.25">
      <c r="A26" s="15"/>
      <c r="B26" s="15"/>
      <c r="C26" s="15"/>
      <c r="G26" s="8"/>
      <c r="H26" s="8"/>
      <c r="I26" s="8"/>
    </row>
    <row r="27" spans="1:10" ht="15.15" customHeight="1" x14ac:dyDescent="0.25">
      <c r="A27" s="161" t="s">
        <v>135</v>
      </c>
      <c r="B27" s="162"/>
      <c r="C27" s="68">
        <f>ROUND(SUM('Stavební rozpočet'!AI12:AI62),0)</f>
        <v>0</v>
      </c>
      <c r="D27" s="7"/>
      <c r="E27" s="15"/>
      <c r="F27" s="15"/>
      <c r="G27" s="15"/>
      <c r="H27" s="15"/>
      <c r="I27" s="15"/>
    </row>
    <row r="28" spans="1:10" ht="15.15" customHeight="1" x14ac:dyDescent="0.25">
      <c r="A28" s="161" t="s">
        <v>136</v>
      </c>
      <c r="B28" s="162"/>
      <c r="C28" s="68">
        <f>ROUND(SUM('Stavební rozpočet'!AJ12:AJ62),0)</f>
        <v>0</v>
      </c>
      <c r="D28" s="161" t="s">
        <v>149</v>
      </c>
      <c r="E28" s="162"/>
      <c r="F28" s="68">
        <f>ROUND(C28*(15/100),2)</f>
        <v>0</v>
      </c>
      <c r="G28" s="161" t="s">
        <v>164</v>
      </c>
      <c r="H28" s="162"/>
      <c r="I28" s="68">
        <f>ROUND(SUM(C27:C29),0)</f>
        <v>0</v>
      </c>
      <c r="J28" s="5"/>
    </row>
    <row r="29" spans="1:10" ht="15.15" customHeight="1" x14ac:dyDescent="0.25">
      <c r="A29" s="161" t="s">
        <v>137</v>
      </c>
      <c r="B29" s="162"/>
      <c r="C29" s="68">
        <f>C22</f>
        <v>0</v>
      </c>
      <c r="D29" s="161" t="s">
        <v>150</v>
      </c>
      <c r="E29" s="162"/>
      <c r="F29" s="68">
        <f>ROUND(C29*(21/100),2)</f>
        <v>0</v>
      </c>
      <c r="G29" s="161" t="s">
        <v>165</v>
      </c>
      <c r="H29" s="162"/>
      <c r="I29" s="68">
        <f>ROUND(SUM(F28:F29)+I28,0)</f>
        <v>0</v>
      </c>
      <c r="J29" s="5"/>
    </row>
    <row r="30" spans="1:10" x14ac:dyDescent="0.25">
      <c r="A30" s="59"/>
      <c r="B30" s="59"/>
      <c r="C30" s="59"/>
      <c r="D30" s="59"/>
      <c r="E30" s="59"/>
      <c r="F30" s="59"/>
      <c r="G30" s="59"/>
      <c r="H30" s="59"/>
      <c r="I30" s="59"/>
    </row>
    <row r="31" spans="1:10" ht="14.4" customHeight="1" x14ac:dyDescent="0.25">
      <c r="A31" s="163" t="s">
        <v>138</v>
      </c>
      <c r="B31" s="164"/>
      <c r="C31" s="165"/>
      <c r="D31" s="163" t="s">
        <v>151</v>
      </c>
      <c r="E31" s="164"/>
      <c r="F31" s="165"/>
      <c r="G31" s="163" t="s">
        <v>166</v>
      </c>
      <c r="H31" s="164"/>
      <c r="I31" s="165"/>
      <c r="J31" s="32"/>
    </row>
    <row r="32" spans="1:10" ht="14.4" customHeight="1" x14ac:dyDescent="0.25">
      <c r="A32" s="155"/>
      <c r="B32" s="156"/>
      <c r="C32" s="157"/>
      <c r="D32" s="155"/>
      <c r="E32" s="156"/>
      <c r="F32" s="157"/>
      <c r="G32" s="155"/>
      <c r="H32" s="156"/>
      <c r="I32" s="157"/>
      <c r="J32" s="32"/>
    </row>
    <row r="33" spans="1:10" ht="14.4" customHeight="1" x14ac:dyDescent="0.25">
      <c r="A33" s="155"/>
      <c r="B33" s="156"/>
      <c r="C33" s="157"/>
      <c r="D33" s="155"/>
      <c r="E33" s="156"/>
      <c r="F33" s="157"/>
      <c r="G33" s="155"/>
      <c r="H33" s="156"/>
      <c r="I33" s="157"/>
      <c r="J33" s="32"/>
    </row>
    <row r="34" spans="1:10" ht="14.4" customHeight="1" x14ac:dyDescent="0.25">
      <c r="A34" s="155"/>
      <c r="B34" s="156"/>
      <c r="C34" s="157"/>
      <c r="D34" s="155"/>
      <c r="E34" s="156"/>
      <c r="F34" s="157"/>
      <c r="G34" s="155"/>
      <c r="H34" s="156"/>
      <c r="I34" s="157"/>
      <c r="J34" s="32"/>
    </row>
    <row r="35" spans="1:10" ht="14.4" customHeight="1" x14ac:dyDescent="0.25">
      <c r="A35" s="158" t="s">
        <v>139</v>
      </c>
      <c r="B35" s="159"/>
      <c r="C35" s="160"/>
      <c r="D35" s="158" t="s">
        <v>139</v>
      </c>
      <c r="E35" s="159"/>
      <c r="F35" s="160"/>
      <c r="G35" s="158" t="s">
        <v>139</v>
      </c>
      <c r="H35" s="159"/>
      <c r="I35" s="160"/>
      <c r="J35" s="32"/>
    </row>
    <row r="36" spans="1:10" ht="11.25" customHeight="1" x14ac:dyDescent="0.25">
      <c r="A36" s="60" t="s">
        <v>18</v>
      </c>
      <c r="B36" s="62"/>
      <c r="C36" s="62"/>
      <c r="D36" s="62"/>
      <c r="E36" s="62"/>
      <c r="F36" s="62"/>
      <c r="G36" s="62"/>
      <c r="H36" s="62"/>
      <c r="I36" s="62"/>
    </row>
    <row r="37" spans="1:10" x14ac:dyDescent="0.25">
      <c r="A37" s="129" t="s">
        <v>19</v>
      </c>
      <c r="B37" s="130"/>
      <c r="C37" s="130"/>
      <c r="D37" s="130"/>
      <c r="E37" s="130"/>
      <c r="F37" s="130"/>
      <c r="G37" s="130"/>
      <c r="H37" s="130"/>
      <c r="I37" s="130"/>
    </row>
  </sheetData>
  <sheetProtection algorithmName="SHA-512" hashValue="Mc2pBlqQEBcAXukCXcWCQMViRClfEFezZo8Gi5P/CS0u5y1k+qd5Ez5+/4PTQqoq4AL/Up9PSh3K84Ck5VRhWQ==" saltValue="Qeh8hOXqkql4GrlOxn82xw==" spinCount="100000" sheet="1" objects="1" scenarios="1"/>
  <mergeCells count="83">
    <mergeCell ref="C1:I1"/>
    <mergeCell ref="A2:B3"/>
    <mergeCell ref="C2:D3"/>
    <mergeCell ref="E2:E3"/>
    <mergeCell ref="F2:G3"/>
    <mergeCell ref="H2:H3"/>
    <mergeCell ref="I2:I3"/>
    <mergeCell ref="I6:I7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8:B28"/>
    <mergeCell ref="D28:E28"/>
    <mergeCell ref="G28:H28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39400000000000002" right="0.39400000000000002" top="0.59099999999999997" bottom="0.59099999999999997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Stavební rozpočet</vt:lpstr>
      <vt:lpstr>Stavební rozpočet - součet</vt:lpstr>
      <vt:lpstr>Krycí list rozpočtu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spravce</dc:creator>
  <cp:lastModifiedBy>TROJAN Karel Ing. Bc. Ph.D.</cp:lastModifiedBy>
  <dcterms:created xsi:type="dcterms:W3CDTF">2021-05-04T16:19:33Z</dcterms:created>
  <dcterms:modified xsi:type="dcterms:W3CDTF">2025-03-20T21:07:11Z</dcterms:modified>
</cp:coreProperties>
</file>