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D\Plánované akce 2025\Dolejší\OPRAVY KOMUNIKACÍ 2025\Opravy celoplošné\Vrchlického\"/>
    </mc:Choice>
  </mc:AlternateContent>
  <bookViews>
    <workbookView xWindow="-120" yWindow="-120" windowWidth="38640" windowHeight="21240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I48" i="1" l="1"/>
  <c r="I47" i="1"/>
  <c r="H48" i="1"/>
  <c r="H47" i="1"/>
  <c r="L48" i="1" l="1"/>
  <c r="J48" i="1"/>
  <c r="G15" i="2" l="1"/>
  <c r="BI39" i="1"/>
  <c r="BC39" i="1"/>
  <c r="AO39" i="1"/>
  <c r="BH39" i="1" s="1"/>
  <c r="AB39" i="1" s="1"/>
  <c r="AN39" i="1"/>
  <c r="BG39" i="1" s="1"/>
  <c r="AA39" i="1" s="1"/>
  <c r="AJ39" i="1"/>
  <c r="AI39" i="1"/>
  <c r="AG39" i="1"/>
  <c r="AF39" i="1"/>
  <c r="AE39" i="1"/>
  <c r="AD39" i="1"/>
  <c r="AC39" i="1"/>
  <c r="Y39" i="1"/>
  <c r="L39" i="1"/>
  <c r="BE39" i="1" s="1"/>
  <c r="J39" i="1"/>
  <c r="AK39" i="1" s="1"/>
  <c r="L33" i="1"/>
  <c r="J33" i="1"/>
  <c r="I33" i="1" s="1"/>
  <c r="H33" i="1"/>
  <c r="AV39" i="1" l="1"/>
  <c r="AW39" i="1"/>
  <c r="H39" i="1"/>
  <c r="I39" i="1"/>
  <c r="J43" i="1"/>
  <c r="I43" i="1"/>
  <c r="H43" i="1"/>
  <c r="L47" i="1"/>
  <c r="J47" i="1"/>
  <c r="J46" i="1" s="1"/>
  <c r="F15" i="2" s="1"/>
  <c r="I46" i="1"/>
  <c r="E15" i="2" s="1"/>
  <c r="H46" i="1"/>
  <c r="D15" i="2" s="1"/>
  <c r="BB39" i="1" l="1"/>
  <c r="AU39" i="1"/>
  <c r="L31" i="1"/>
  <c r="L30" i="1" s="1"/>
  <c r="C2" i="5" l="1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I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1" i="1"/>
  <c r="J30" i="1" s="1"/>
  <c r="BE31" i="1"/>
  <c r="Y31" i="1"/>
  <c r="AC31" i="1"/>
  <c r="AD31" i="1"/>
  <c r="AE31" i="1"/>
  <c r="AF31" i="1"/>
  <c r="AG31" i="1"/>
  <c r="AI31" i="1"/>
  <c r="AJ31" i="1"/>
  <c r="AN31" i="1"/>
  <c r="H31" i="1" s="1"/>
  <c r="AO31" i="1"/>
  <c r="BH31" i="1" s="1"/>
  <c r="AB31" i="1" s="1"/>
  <c r="BC31" i="1"/>
  <c r="BI31" i="1"/>
  <c r="J36" i="1"/>
  <c r="L36" i="1"/>
  <c r="L35" i="1" s="1"/>
  <c r="Y36" i="1"/>
  <c r="AC36" i="1"/>
  <c r="AD36" i="1"/>
  <c r="AE36" i="1"/>
  <c r="AF36" i="1"/>
  <c r="AG36" i="1"/>
  <c r="AI36" i="1"/>
  <c r="AJ36" i="1"/>
  <c r="AN36" i="1"/>
  <c r="BG36" i="1" s="1"/>
  <c r="AA36" i="1" s="1"/>
  <c r="AO36" i="1"/>
  <c r="I36" i="1" s="1"/>
  <c r="BC36" i="1"/>
  <c r="BI36" i="1"/>
  <c r="J41" i="1"/>
  <c r="L41" i="1"/>
  <c r="BE41" i="1" s="1"/>
  <c r="Y41" i="1"/>
  <c r="AC41" i="1"/>
  <c r="AD41" i="1"/>
  <c r="AE41" i="1"/>
  <c r="AF41" i="1"/>
  <c r="AG41" i="1"/>
  <c r="AI41" i="1"/>
  <c r="AJ41" i="1"/>
  <c r="AN41" i="1"/>
  <c r="BG41" i="1" s="1"/>
  <c r="AA41" i="1" s="1"/>
  <c r="AO41" i="1"/>
  <c r="BH41" i="1" s="1"/>
  <c r="AB41" i="1" s="1"/>
  <c r="BC41" i="1"/>
  <c r="BI41" i="1"/>
  <c r="J51" i="1"/>
  <c r="L51" i="1"/>
  <c r="BE51" i="1" s="1"/>
  <c r="Y51" i="1"/>
  <c r="AC51" i="1"/>
  <c r="AD51" i="1"/>
  <c r="AE51" i="1"/>
  <c r="AF51" i="1"/>
  <c r="AG51" i="1"/>
  <c r="AI51" i="1"/>
  <c r="AJ51" i="1"/>
  <c r="AN51" i="1"/>
  <c r="BG51" i="1" s="1"/>
  <c r="AA51" i="1" s="1"/>
  <c r="AO51" i="1"/>
  <c r="BH51" i="1" s="1"/>
  <c r="AB51" i="1" s="1"/>
  <c r="BC51" i="1"/>
  <c r="BI51" i="1"/>
  <c r="J56" i="1"/>
  <c r="L56" i="1"/>
  <c r="BE56" i="1" s="1"/>
  <c r="AA56" i="1"/>
  <c r="AB56" i="1"/>
  <c r="AC56" i="1"/>
  <c r="AD56" i="1"/>
  <c r="AE56" i="1"/>
  <c r="AF56" i="1"/>
  <c r="AG56" i="1"/>
  <c r="AI56" i="1"/>
  <c r="AR55" i="1" s="1"/>
  <c r="AJ56" i="1"/>
  <c r="AS55" i="1" s="1"/>
  <c r="AN56" i="1"/>
  <c r="H56" i="1" s="1"/>
  <c r="H55" i="1" s="1"/>
  <c r="D17" i="2" s="1"/>
  <c r="AO56" i="1"/>
  <c r="BH56" i="1" s="1"/>
  <c r="BC56" i="1"/>
  <c r="BI56" i="1"/>
  <c r="Y56" i="1" s="1"/>
  <c r="J59" i="1"/>
  <c r="L59" i="1"/>
  <c r="BE59" i="1" s="1"/>
  <c r="AA59" i="1"/>
  <c r="AB59" i="1"/>
  <c r="AC59" i="1"/>
  <c r="AD59" i="1"/>
  <c r="AE59" i="1"/>
  <c r="AF59" i="1"/>
  <c r="AG59" i="1"/>
  <c r="AI59" i="1"/>
  <c r="AJ59" i="1"/>
  <c r="AN59" i="1"/>
  <c r="BG59" i="1" s="1"/>
  <c r="AO59" i="1"/>
  <c r="I59" i="1" s="1"/>
  <c r="BC59" i="1"/>
  <c r="BI59" i="1"/>
  <c r="Y59" i="1" s="1"/>
  <c r="J60" i="1"/>
  <c r="L60" i="1"/>
  <c r="BE60" i="1" s="1"/>
  <c r="AA60" i="1"/>
  <c r="AB60" i="1"/>
  <c r="AC60" i="1"/>
  <c r="AD60" i="1"/>
  <c r="AE60" i="1"/>
  <c r="AF60" i="1"/>
  <c r="AG60" i="1"/>
  <c r="AI60" i="1"/>
  <c r="AJ60" i="1"/>
  <c r="AN60" i="1"/>
  <c r="BG60" i="1" s="1"/>
  <c r="AO60" i="1"/>
  <c r="BH60" i="1" s="1"/>
  <c r="BC60" i="1"/>
  <c r="BI60" i="1"/>
  <c r="Y60" i="1" s="1"/>
  <c r="B2" i="2"/>
  <c r="E2" i="2"/>
  <c r="B4" i="2"/>
  <c r="E4" i="2"/>
  <c r="B6" i="2"/>
  <c r="E6" i="2"/>
  <c r="B8" i="2"/>
  <c r="E8" i="2"/>
  <c r="J35" i="1" l="1"/>
  <c r="F14" i="2" s="1"/>
  <c r="J12" i="1"/>
  <c r="BE36" i="1"/>
  <c r="G14" i="2"/>
  <c r="AK19" i="1"/>
  <c r="BH13" i="1"/>
  <c r="AB13" i="1" s="1"/>
  <c r="AS35" i="1"/>
  <c r="AK59" i="1"/>
  <c r="H59" i="1"/>
  <c r="AS58" i="1"/>
  <c r="AV59" i="1"/>
  <c r="AW36" i="1"/>
  <c r="AK13" i="1"/>
  <c r="AW56" i="1"/>
  <c r="AR50" i="1"/>
  <c r="I51" i="1"/>
  <c r="I50" i="1" s="1"/>
  <c r="E16" i="2" s="1"/>
  <c r="H25" i="1"/>
  <c r="BH19" i="1"/>
  <c r="AB19" i="1" s="1"/>
  <c r="AS30" i="1"/>
  <c r="BG17" i="1"/>
  <c r="AA17" i="1" s="1"/>
  <c r="BG15" i="1"/>
  <c r="AA15" i="1" s="1"/>
  <c r="I15" i="1"/>
  <c r="AW51" i="1"/>
  <c r="AR30" i="1"/>
  <c r="BG25" i="1"/>
  <c r="AA25" i="1" s="1"/>
  <c r="AW19" i="1"/>
  <c r="AK21" i="1"/>
  <c r="AV17" i="1"/>
  <c r="AU17" i="1" s="1"/>
  <c r="AW15" i="1"/>
  <c r="AW59" i="1"/>
  <c r="I56" i="1"/>
  <c r="I55" i="1" s="1"/>
  <c r="E17" i="2" s="1"/>
  <c r="AV15" i="1"/>
  <c r="C28" i="5"/>
  <c r="F28" i="5" s="1"/>
  <c r="AK60" i="1"/>
  <c r="AK56" i="1"/>
  <c r="AT55" i="1" s="1"/>
  <c r="J55" i="1"/>
  <c r="AK41" i="1"/>
  <c r="AV36" i="1"/>
  <c r="AW31" i="1"/>
  <c r="AK28" i="1"/>
  <c r="AT27" i="1" s="1"/>
  <c r="AW23" i="1"/>
  <c r="AW21" i="1"/>
  <c r="BG13" i="1"/>
  <c r="AA13" i="1" s="1"/>
  <c r="C27" i="5"/>
  <c r="J50" i="1"/>
  <c r="F16" i="2" s="1"/>
  <c r="I16" i="2" s="1"/>
  <c r="BH17" i="1"/>
  <c r="AB17" i="1" s="1"/>
  <c r="AR12" i="1"/>
  <c r="H41" i="1"/>
  <c r="AK36" i="1"/>
  <c r="I17" i="1"/>
  <c r="L12" i="1"/>
  <c r="G11" i="2" s="1"/>
  <c r="AW13" i="1"/>
  <c r="BB13" i="1" s="1"/>
  <c r="C18" i="5"/>
  <c r="H60" i="1"/>
  <c r="F13" i="2"/>
  <c r="BE28" i="1"/>
  <c r="C19" i="5"/>
  <c r="C17" i="5"/>
  <c r="I23" i="1"/>
  <c r="C16" i="5"/>
  <c r="AV41" i="1"/>
  <c r="BH36" i="1"/>
  <c r="AB36" i="1" s="1"/>
  <c r="AR35" i="1"/>
  <c r="I31" i="1"/>
  <c r="BH59" i="1"/>
  <c r="AR58" i="1"/>
  <c r="AS50" i="1"/>
  <c r="H36" i="1"/>
  <c r="G13" i="2"/>
  <c r="C20" i="5"/>
  <c r="I21" i="1"/>
  <c r="H30" i="1"/>
  <c r="D13" i="2" s="1"/>
  <c r="AW60" i="1"/>
  <c r="AW41" i="1"/>
  <c r="AK31" i="1"/>
  <c r="AV19" i="1"/>
  <c r="BE15" i="1"/>
  <c r="H13" i="1"/>
  <c r="AV60" i="1"/>
  <c r="L58" i="1"/>
  <c r="G18" i="2" s="1"/>
  <c r="BH28" i="1"/>
  <c r="AB28" i="1" s="1"/>
  <c r="I60" i="1"/>
  <c r="I58" i="1" s="1"/>
  <c r="E18" i="2" s="1"/>
  <c r="J58" i="1"/>
  <c r="F18" i="2" s="1"/>
  <c r="I18" i="2" s="1"/>
  <c r="L55" i="1"/>
  <c r="G17" i="2" s="1"/>
  <c r="AV51" i="1"/>
  <c r="I41" i="1"/>
  <c r="I35" i="1" s="1"/>
  <c r="BG28" i="1"/>
  <c r="AA28" i="1" s="1"/>
  <c r="BH25" i="1"/>
  <c r="AB25" i="1" s="1"/>
  <c r="AV23" i="1"/>
  <c r="H19" i="1"/>
  <c r="AS12" i="1"/>
  <c r="H51" i="1"/>
  <c r="H50" i="1" s="1"/>
  <c r="H23" i="1"/>
  <c r="AK51" i="1"/>
  <c r="AW28" i="1"/>
  <c r="AK23" i="1"/>
  <c r="BG56" i="1"/>
  <c r="BG31" i="1"/>
  <c r="AA31" i="1" s="1"/>
  <c r="AV28" i="1"/>
  <c r="AW25" i="1"/>
  <c r="AU25" i="1" s="1"/>
  <c r="BG21" i="1"/>
  <c r="AA21" i="1" s="1"/>
  <c r="L50" i="1"/>
  <c r="G16" i="2" s="1"/>
  <c r="AV56" i="1"/>
  <c r="AV31" i="1"/>
  <c r="AV21" i="1"/>
  <c r="H35" i="1" l="1"/>
  <c r="D14" i="2" s="1"/>
  <c r="J62" i="1"/>
  <c r="I13" i="2"/>
  <c r="I30" i="1"/>
  <c r="E13" i="2" s="1"/>
  <c r="C21" i="5"/>
  <c r="F17" i="2"/>
  <c r="BB59" i="1"/>
  <c r="BB41" i="1"/>
  <c r="BB17" i="1"/>
  <c r="BB15" i="1"/>
  <c r="AT58" i="1"/>
  <c r="BB36" i="1"/>
  <c r="AT35" i="1"/>
  <c r="D16" i="2"/>
  <c r="AU36" i="1"/>
  <c r="H58" i="1"/>
  <c r="D18" i="2" s="1"/>
  <c r="I12" i="1"/>
  <c r="E11" i="2" s="1"/>
  <c r="AU13" i="1"/>
  <c r="AT12" i="1"/>
  <c r="AU59" i="1"/>
  <c r="AT30" i="1"/>
  <c r="AU15" i="1"/>
  <c r="AT50" i="1"/>
  <c r="BB25" i="1"/>
  <c r="AU41" i="1"/>
  <c r="E14" i="2"/>
  <c r="AU23" i="1"/>
  <c r="BB23" i="1"/>
  <c r="BB19" i="1"/>
  <c r="AU19" i="1"/>
  <c r="AU21" i="1"/>
  <c r="BB21" i="1"/>
  <c r="AU31" i="1"/>
  <c r="BB31" i="1"/>
  <c r="F11" i="2"/>
  <c r="I11" i="2" s="1"/>
  <c r="AU60" i="1"/>
  <c r="BB60" i="1"/>
  <c r="H12" i="1"/>
  <c r="D11" i="2" s="1"/>
  <c r="AU28" i="1"/>
  <c r="BB28" i="1"/>
  <c r="AU56" i="1"/>
  <c r="BB56" i="1"/>
  <c r="AU51" i="1"/>
  <c r="BB51" i="1"/>
  <c r="F19" i="2" l="1"/>
  <c r="C15" i="5"/>
  <c r="I17" i="2"/>
  <c r="D19" i="2"/>
  <c r="C14" i="5" s="1"/>
  <c r="E19" i="2"/>
  <c r="I14" i="2"/>
  <c r="C22" i="5" l="1"/>
  <c r="C29" i="5" s="1"/>
  <c r="I28" i="5" s="1"/>
  <c r="F29" i="5" l="1"/>
  <c r="I29" i="5" s="1"/>
</calcChain>
</file>

<file path=xl/sharedStrings.xml><?xml version="1.0" encoding="utf-8"?>
<sst xmlns="http://schemas.openxmlformats.org/spreadsheetml/2006/main" count="419" uniqueCount="206">
  <si>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</si>
  <si>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</si>
  <si>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</si>
  <si>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</si>
  <si>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</si>
  <si>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</si>
  <si>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</si>
  <si>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</si>
  <si>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</si>
  <si>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</si>
  <si>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</si>
  <si>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</si>
  <si>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</si>
  <si>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</si>
  <si>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</si>
  <si>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</si>
  <si>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</si>
  <si>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15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</si>
  <si>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</si>
  <si>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</si>
  <si>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</si>
  <si>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</si>
  <si>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</si>
  <si>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</si>
  <si>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</si>
  <si>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</si>
  <si>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</si>
  <si>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</si>
  <si>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</si>
  <si>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</si>
  <si>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</si>
  <si>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</si>
  <si>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</si>
  <si>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</si>
  <si>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</si>
  <si>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</si>
  <si>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</si>
  <si>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</si>
  <si>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</si>
  <si>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</si>
  <si>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</si>
  <si>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</si>
  <si>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</si>
  <si>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</si>
  <si>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</si>
  <si>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</si>
  <si>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</si>
  <si>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</si>
  <si>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</si>
  <si>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</si>
  <si>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</si>
  <si>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</si>
  <si>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</si>
  <si>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</si>
  <si>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</si>
  <si>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</si>
  <si>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</si>
  <si>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</si>
  <si>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</si>
  <si>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</si>
  <si>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</si>
  <si>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</si>
  <si>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</si>
  <si>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</si>
  <si>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</si>
  <si>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</si>
  <si>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</si>
  <si>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</si>
  <si>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</si>
  <si>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</si>
  <si>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</si>
  <si>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</si>
  <si>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</si>
  <si>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</si>
  <si>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</si>
  <si>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</si>
  <si>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</si>
  <si>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</si>
  <si>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</si>
  <si>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</si>
  <si>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</si>
  <si>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</si>
  <si>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</si>
  <si>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</si>
  <si>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</si>
  <si>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</si>
  <si>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</si>
  <si>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</si>
  <si>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</si>
  <si>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</si>
  <si>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</si>
  <si>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</si>
  <si>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</si>
  <si>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</si>
  <si>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</si>
  <si>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</si>
  <si>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</si>
  <si>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</si>
  <si>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</si>
  <si>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</si>
  <si>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</si>
  <si>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</si>
  <si>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</si>
  <si>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</si>
  <si>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11_</t>
  </si>
  <si>
    <t>57_</t>
  </si>
  <si>
    <t>91_</t>
  </si>
  <si>
    <t>H22_</t>
  </si>
  <si>
    <t>S_</t>
  </si>
  <si>
    <t>0_</t>
  </si>
  <si>
    <t>1_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</si>
  <si>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</si>
  <si>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</si>
  <si>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</si>
  <si>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</si>
  <si>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</si>
  <si>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</si>
  <si>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</si>
  <si>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</si>
  <si>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</si>
  <si>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</si>
  <si>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</si>
  <si>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</si>
  <si>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</si>
  <si>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</si>
  <si>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</si>
  <si>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</si>
  <si>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</si>
  <si>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</si>
  <si>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</si>
  <si>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</si>
  <si>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</si>
  <si>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</si>
  <si>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</si>
  <si>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</si>
  <si>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</si>
  <si>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</si>
  <si>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</si>
  <si>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</si>
  <si>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</si>
  <si>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</si>
  <si>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</si>
  <si>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</si>
  <si>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</si>
  <si>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</si>
  <si>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</si>
  <si>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</si>
  <si>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</si>
  <si>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</si>
  <si>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</si>
  <si>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</si>
  <si>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</si>
  <si>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</si>
  <si>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</si>
  <si>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</si>
  <si>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</si>
  <si>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</si>
  <si>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</si>
  <si>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</si>
  <si>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</si>
  <si>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</si>
  <si>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</si>
  <si>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</si>
  <si>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</si>
  <si>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</si>
  <si>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</si>
  <si>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</si>
  <si>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</si>
  <si>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</si>
  <si>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</si>
  <si>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</si>
  <si>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</si>
  <si>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</si>
  <si>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</si>
  <si>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Položka obsahuje nakládku R-materiálu a zametení (dočištění) frézovaných míst</t>
  </si>
  <si>
    <t>113151314R00</t>
  </si>
  <si>
    <t>577132111R00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</si>
  <si>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</si>
  <si>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Asfaltový koberec mastixový SMA 11 (AKMS) "SMA 11 s PMB 45/80-65" s rozprostředním a se zhutněním v pruhu šířky přes 3 m, po zhutněnní tl. 40 mm</t>
  </si>
  <si>
    <t>Pozn. doprava recyklátu na skládku objednatele do 10 km od místa provádění stavby 125*10</t>
  </si>
  <si>
    <t>12</t>
  </si>
  <si>
    <t>89</t>
  </si>
  <si>
    <t>Ostatní konstrukce a práce na trubním vedení</t>
  </si>
  <si>
    <t>899331111R00</t>
  </si>
  <si>
    <t>kus</t>
  </si>
  <si>
    <t>89_</t>
  </si>
  <si>
    <t>8_</t>
  </si>
  <si>
    <t>19</t>
  </si>
  <si>
    <t>596215021R00</t>
  </si>
  <si>
    <t>Předláždění stávajícího kamenného dvojřádku v místech poškození</t>
  </si>
  <si>
    <t>Frézování živič.krytu nad 500 m2, s překážkami, tl.4 cm</t>
  </si>
  <si>
    <t>Kladení kamenné dlažby 10x10 cm do betonu</t>
  </si>
  <si>
    <t>577142122R00</t>
  </si>
  <si>
    <t>Beton asfalt. ACL 16+ ložný, š. do 3 m, tl. 6 cm</t>
  </si>
  <si>
    <t>16</t>
  </si>
  <si>
    <t>17</t>
  </si>
  <si>
    <t>18</t>
  </si>
  <si>
    <t>Frézování živič.krytu do 500 m2, s překážkami, tl.6 cm</t>
  </si>
  <si>
    <t>Položka obsahuje nakládku R-materiálu a zametení (dočištění) frézovaných míst - frézování lokálních poruch v ložné vrstvě</t>
  </si>
  <si>
    <t>06.03.2025</t>
  </si>
  <si>
    <t>Výšková úprava vstupu do 20 cm, zvýšení poklopu uliční vpusti/revizní šachty kanalizace</t>
  </si>
  <si>
    <t>Výšková úprava vstupu do 20 cm, zvýšení poklopu vodvodního uzávěru</t>
  </si>
  <si>
    <t>Oprava povrchu komunikace v ul. Vrchlického</t>
  </si>
  <si>
    <t>13</t>
  </si>
  <si>
    <t>podél frézovaných spár v asfaltu, ošetření trhlin v ložné vrstvě po odfrézování (včetně proříznutí)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</si>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</sst>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indexed="5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9" fontId="4" fillId="0" borderId="5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</cellStyleXfs>
  <cellXfs count="183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left" vertical="center"/>
    </xf>
    <xf numFmtId="2" fontId="8" fillId="2" borderId="2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left" vertical="top"/>
    </xf>
    <xf numFmtId="49" fontId="23" fillId="0" borderId="2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</cellXfs>
  <cellStyles count="3">
    <cellStyle name="Chybně" xfId="2"/>
    <cellStyle name="Normální" xfId="0" builtinId="0"/>
    <cellStyle name="Normální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4"/>
  <sheetViews>
    <sheetView tabSelected="1" workbookViewId="0">
      <pane ySplit="11" topLeftCell="A48" activePane="bottomLeft" state="frozenSplit"/>
      <selection pane="bottomLeft" activeCell="G48" sqref="G48"/>
    </sheetView>
  </sheetViews>
  <sheetFormatPr defaultColWidth="11.53515625" defaultRowHeight="12.45" x14ac:dyDescent="0.3"/>
  <cols>
    <col min="1" max="1" width="3.69140625" customWidth="1"/>
    <col min="2" max="2" width="7.53515625" customWidth="1"/>
    <col min="3" max="3" width="14.3046875" customWidth="1"/>
    <col min="4" max="4" width="49.69140625" customWidth="1"/>
    <col min="5" max="5" width="6.4609375" customWidth="1"/>
    <col min="6" max="6" width="12.84375" customWidth="1"/>
    <col min="7" max="7" width="12" customWidth="1"/>
    <col min="8" max="9" width="14.3046875" customWidth="1"/>
    <col min="10" max="10" width="14.07421875" customWidth="1"/>
    <col min="11" max="12" width="11.69140625" customWidth="1"/>
    <col min="24" max="57" width="12.07421875" hidden="1" customWidth="1"/>
    <col min="58" max="58" width="4.4609375" hidden="1" customWidth="1"/>
    <col min="59" max="62" width="12.07421875" hidden="1" customWidth="1"/>
    <col min="63" max="63" width="12.4609375" hidden="1" customWidth="1"/>
  </cols>
  <sheetData>
    <row r="1" spans="1:63" ht="72.900000000000006" customHeight="1" x14ac:dyDescent="0.3">
      <c r="A1" s="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63" x14ac:dyDescent="0.3">
      <c r="A2" s="123" t="s">
        <v>1</v>
      </c>
      <c r="B2" s="124"/>
      <c r="C2" s="124"/>
      <c r="D2" s="127" t="s">
        <v>202</v>
      </c>
      <c r="E2" s="129" t="s">
        <v>67</v>
      </c>
      <c r="F2" s="124"/>
      <c r="G2" s="129" t="s">
        <v>6</v>
      </c>
      <c r="H2" s="130" t="s">
        <v>79</v>
      </c>
      <c r="I2" s="130" t="s">
        <v>86</v>
      </c>
      <c r="J2" s="124"/>
      <c r="K2" s="124"/>
      <c r="L2" s="124"/>
      <c r="M2" s="5"/>
    </row>
    <row r="3" spans="1:63" x14ac:dyDescent="0.3">
      <c r="A3" s="125"/>
      <c r="B3" s="126"/>
      <c r="C3" s="126"/>
      <c r="D3" s="128"/>
      <c r="E3" s="126"/>
      <c r="F3" s="126"/>
      <c r="G3" s="126"/>
      <c r="H3" s="126"/>
      <c r="I3" s="126"/>
      <c r="J3" s="126"/>
      <c r="K3" s="126"/>
      <c r="L3" s="126"/>
      <c r="M3" s="5"/>
    </row>
    <row r="4" spans="1:63" x14ac:dyDescent="0.3">
      <c r="A4" s="132" t="s">
        <v>2</v>
      </c>
      <c r="B4" s="126"/>
      <c r="C4" s="126"/>
      <c r="D4" s="131" t="s">
        <v>6</v>
      </c>
      <c r="E4" s="133" t="s">
        <v>68</v>
      </c>
      <c r="F4" s="126"/>
      <c r="G4" s="133" t="s">
        <v>6</v>
      </c>
      <c r="H4" s="131" t="s">
        <v>80</v>
      </c>
      <c r="I4" s="134" t="s">
        <v>87</v>
      </c>
      <c r="J4" s="126"/>
      <c r="K4" s="126"/>
      <c r="L4" s="135"/>
      <c r="M4" s="5"/>
    </row>
    <row r="5" spans="1:63" x14ac:dyDescent="0.3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35"/>
      <c r="M5" s="5"/>
    </row>
    <row r="6" spans="1:63" x14ac:dyDescent="0.3">
      <c r="A6" s="132" t="s">
        <v>3</v>
      </c>
      <c r="B6" s="126"/>
      <c r="C6" s="126"/>
      <c r="D6" s="131" t="s">
        <v>36</v>
      </c>
      <c r="E6" s="133" t="s">
        <v>69</v>
      </c>
      <c r="F6" s="126"/>
      <c r="G6" s="133" t="s">
        <v>6</v>
      </c>
      <c r="H6" s="131" t="s">
        <v>81</v>
      </c>
      <c r="I6" s="131" t="s">
        <v>88</v>
      </c>
      <c r="J6" s="126"/>
      <c r="K6" s="126"/>
      <c r="L6" s="126"/>
      <c r="M6" s="5"/>
    </row>
    <row r="7" spans="1:63" x14ac:dyDescent="0.3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5"/>
    </row>
    <row r="8" spans="1:63" x14ac:dyDescent="0.3">
      <c r="A8" s="132" t="s">
        <v>4</v>
      </c>
      <c r="B8" s="126"/>
      <c r="C8" s="126"/>
      <c r="D8" s="131" t="s">
        <v>6</v>
      </c>
      <c r="E8" s="133" t="s">
        <v>70</v>
      </c>
      <c r="F8" s="126"/>
      <c r="G8" s="133" t="s">
        <v>199</v>
      </c>
      <c r="H8" s="131" t="s">
        <v>82</v>
      </c>
      <c r="I8" s="131" t="s">
        <v>172</v>
      </c>
      <c r="J8" s="126"/>
      <c r="K8" s="126"/>
      <c r="L8" s="126"/>
      <c r="M8" s="5"/>
    </row>
    <row r="9" spans="1:63" ht="12.9" thickBot="1" x14ac:dyDescent="0.35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5"/>
    </row>
    <row r="10" spans="1:63" x14ac:dyDescent="0.3">
      <c r="A10" s="1" t="s">
        <v>5</v>
      </c>
      <c r="B10" s="10" t="s">
        <v>20</v>
      </c>
      <c r="C10" s="10" t="s">
        <v>21</v>
      </c>
      <c r="D10" s="104" t="s">
        <v>37</v>
      </c>
      <c r="E10" s="104" t="s">
        <v>71</v>
      </c>
      <c r="F10" s="105" t="s">
        <v>76</v>
      </c>
      <c r="G10" s="106" t="s">
        <v>77</v>
      </c>
      <c r="H10" s="140" t="s">
        <v>83</v>
      </c>
      <c r="I10" s="141"/>
      <c r="J10" s="142"/>
      <c r="K10" s="143" t="s">
        <v>91</v>
      </c>
      <c r="L10" s="142"/>
      <c r="M10" s="32"/>
      <c r="BJ10" s="30" t="s">
        <v>117</v>
      </c>
      <c r="BK10" s="36" t="s">
        <v>119</v>
      </c>
    </row>
    <row r="11" spans="1:63" x14ac:dyDescent="0.3">
      <c r="A11" s="2" t="s">
        <v>6</v>
      </c>
      <c r="B11" s="11" t="s">
        <v>6</v>
      </c>
      <c r="C11" s="11" t="s">
        <v>6</v>
      </c>
      <c r="D11" s="18" t="s">
        <v>38</v>
      </c>
      <c r="E11" s="11" t="s">
        <v>6</v>
      </c>
      <c r="F11" s="11" t="s">
        <v>6</v>
      </c>
      <c r="G11" s="25" t="s">
        <v>78</v>
      </c>
      <c r="H11" s="26" t="s">
        <v>84</v>
      </c>
      <c r="I11" s="27" t="s">
        <v>89</v>
      </c>
      <c r="J11" s="28" t="s">
        <v>90</v>
      </c>
      <c r="K11" s="26" t="s">
        <v>92</v>
      </c>
      <c r="L11" s="28" t="s">
        <v>90</v>
      </c>
      <c r="M11" s="32"/>
      <c r="Y11" s="30" t="s">
        <v>93</v>
      </c>
      <c r="Z11" s="30" t="s">
        <v>94</v>
      </c>
      <c r="AA11" s="30" t="s">
        <v>95</v>
      </c>
      <c r="AB11" s="30" t="s">
        <v>96</v>
      </c>
      <c r="AC11" s="30" t="s">
        <v>97</v>
      </c>
      <c r="AD11" s="30" t="s">
        <v>98</v>
      </c>
      <c r="AE11" s="30" t="s">
        <v>99</v>
      </c>
      <c r="AF11" s="30" t="s">
        <v>100</v>
      </c>
      <c r="AG11" s="30" t="s">
        <v>101</v>
      </c>
      <c r="BG11" s="30" t="s">
        <v>114</v>
      </c>
      <c r="BH11" s="30" t="s">
        <v>115</v>
      </c>
      <c r="BI11" s="30" t="s">
        <v>116</v>
      </c>
    </row>
    <row r="12" spans="1:63" x14ac:dyDescent="0.3">
      <c r="A12" s="3"/>
      <c r="B12" s="12"/>
      <c r="C12" s="12" t="s">
        <v>22</v>
      </c>
      <c r="D12" s="12" t="s">
        <v>39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37">
        <f>SUM(L13:L25)</f>
        <v>0</v>
      </c>
      <c r="M12" s="5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3">
      <c r="A13" s="4" t="s">
        <v>7</v>
      </c>
      <c r="B13" s="13"/>
      <c r="C13" s="13" t="s">
        <v>23</v>
      </c>
      <c r="D13" s="13" t="s">
        <v>40</v>
      </c>
      <c r="E13" s="13" t="s">
        <v>72</v>
      </c>
      <c r="F13" s="23">
        <v>1</v>
      </c>
      <c r="G13" s="178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23">
        <f>F13*K13</f>
        <v>0</v>
      </c>
      <c r="M13" s="5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102</v>
      </c>
      <c r="AY13" s="35" t="s">
        <v>109</v>
      </c>
      <c r="AZ13" s="30" t="s">
        <v>113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118</v>
      </c>
      <c r="BK13" s="33" t="s">
        <v>22</v>
      </c>
    </row>
    <row r="14" spans="1:63" ht="57" customHeight="1" x14ac:dyDescent="0.3">
      <c r="A14" s="5"/>
      <c r="C14" s="16" t="s">
        <v>18</v>
      </c>
      <c r="D14" s="136" t="s">
        <v>177</v>
      </c>
      <c r="E14" s="137"/>
      <c r="F14" s="137"/>
      <c r="G14" s="137"/>
      <c r="H14" s="137"/>
      <c r="I14" s="137"/>
      <c r="J14" s="137"/>
      <c r="K14" s="137"/>
      <c r="L14" s="137"/>
      <c r="M14" s="5"/>
    </row>
    <row r="15" spans="1:63" x14ac:dyDescent="0.3">
      <c r="A15" s="4" t="s">
        <v>8</v>
      </c>
      <c r="B15" s="13"/>
      <c r="C15" s="13" t="s">
        <v>23</v>
      </c>
      <c r="D15" s="13" t="s">
        <v>41</v>
      </c>
      <c r="E15" s="13" t="s">
        <v>72</v>
      </c>
      <c r="F15" s="23">
        <v>1</v>
      </c>
      <c r="G15" s="178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23">
        <f>F15*K15</f>
        <v>0</v>
      </c>
      <c r="M15" s="5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102</v>
      </c>
      <c r="AY15" s="35" t="s">
        <v>109</v>
      </c>
      <c r="AZ15" s="30" t="s">
        <v>113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118</v>
      </c>
      <c r="BK15" s="33" t="s">
        <v>22</v>
      </c>
    </row>
    <row r="16" spans="1:63" ht="12.9" x14ac:dyDescent="0.3">
      <c r="A16" s="5"/>
      <c r="C16" s="16" t="s">
        <v>18</v>
      </c>
      <c r="D16" s="136" t="s">
        <v>42</v>
      </c>
      <c r="E16" s="137"/>
      <c r="F16" s="137"/>
      <c r="G16" s="137"/>
      <c r="H16" s="137"/>
      <c r="I16" s="137"/>
      <c r="J16" s="137"/>
      <c r="K16" s="137"/>
      <c r="L16" s="137"/>
      <c r="M16" s="5"/>
    </row>
    <row r="17" spans="1:63" x14ac:dyDescent="0.3">
      <c r="A17" s="4" t="s">
        <v>9</v>
      </c>
      <c r="B17" s="13"/>
      <c r="C17" s="13" t="s">
        <v>23</v>
      </c>
      <c r="D17" s="13" t="s">
        <v>43</v>
      </c>
      <c r="E17" s="13" t="s">
        <v>72</v>
      </c>
      <c r="F17" s="23">
        <v>1</v>
      </c>
      <c r="G17" s="178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23">
        <f>F17*K17</f>
        <v>0</v>
      </c>
      <c r="M17" s="5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102</v>
      </c>
      <c r="AY17" s="35" t="s">
        <v>109</v>
      </c>
      <c r="AZ17" s="30" t="s">
        <v>113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118</v>
      </c>
      <c r="BK17" s="33" t="s">
        <v>22</v>
      </c>
    </row>
    <row r="18" spans="1:63" ht="25.65" customHeight="1" x14ac:dyDescent="0.3">
      <c r="A18" s="5"/>
      <c r="C18" s="16" t="s">
        <v>18</v>
      </c>
      <c r="D18" s="136" t="s">
        <v>44</v>
      </c>
      <c r="E18" s="137"/>
      <c r="F18" s="137"/>
      <c r="G18" s="137"/>
      <c r="H18" s="137"/>
      <c r="I18" s="137"/>
      <c r="J18" s="137"/>
      <c r="K18" s="137"/>
      <c r="L18" s="137"/>
      <c r="M18" s="5"/>
    </row>
    <row r="19" spans="1:63" x14ac:dyDescent="0.3">
      <c r="A19" s="4" t="s">
        <v>10</v>
      </c>
      <c r="B19" s="13"/>
      <c r="C19" s="13" t="s">
        <v>23</v>
      </c>
      <c r="D19" s="13" t="s">
        <v>45</v>
      </c>
      <c r="E19" s="13" t="s">
        <v>72</v>
      </c>
      <c r="F19" s="23">
        <v>1</v>
      </c>
      <c r="G19" s="178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23">
        <f>F19*K19</f>
        <v>0</v>
      </c>
      <c r="M19" s="5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102</v>
      </c>
      <c r="AY19" s="35" t="s">
        <v>109</v>
      </c>
      <c r="AZ19" s="30" t="s">
        <v>113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118</v>
      </c>
      <c r="BK19" s="33" t="s">
        <v>22</v>
      </c>
    </row>
    <row r="20" spans="1:63" ht="12.9" x14ac:dyDescent="0.3">
      <c r="A20" s="5"/>
      <c r="C20" s="16" t="s">
        <v>18</v>
      </c>
      <c r="D20" s="136" t="s">
        <v>46</v>
      </c>
      <c r="E20" s="137"/>
      <c r="F20" s="137"/>
      <c r="G20" s="137"/>
      <c r="H20" s="137"/>
      <c r="I20" s="137"/>
      <c r="J20" s="137"/>
      <c r="K20" s="137"/>
      <c r="L20" s="137"/>
      <c r="M20" s="5"/>
    </row>
    <row r="21" spans="1:63" x14ac:dyDescent="0.3">
      <c r="A21" s="87" t="s">
        <v>11</v>
      </c>
      <c r="B21" s="70"/>
      <c r="C21" s="70" t="s">
        <v>23</v>
      </c>
      <c r="D21" s="70" t="s">
        <v>47</v>
      </c>
      <c r="E21" s="70" t="s">
        <v>72</v>
      </c>
      <c r="F21" s="71">
        <v>1</v>
      </c>
      <c r="G21" s="179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71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102</v>
      </c>
      <c r="AY21" s="35" t="s">
        <v>109</v>
      </c>
      <c r="AZ21" s="30" t="s">
        <v>113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118</v>
      </c>
      <c r="BK21" s="33" t="s">
        <v>22</v>
      </c>
    </row>
    <row r="22" spans="1:63" ht="12.9" x14ac:dyDescent="0.3">
      <c r="A22" s="5"/>
      <c r="C22" s="16" t="s">
        <v>18</v>
      </c>
      <c r="D22" s="136" t="s">
        <v>48</v>
      </c>
      <c r="E22" s="137"/>
      <c r="F22" s="137"/>
      <c r="G22" s="137"/>
      <c r="H22" s="137"/>
      <c r="I22" s="137"/>
      <c r="J22" s="137"/>
      <c r="K22" s="137"/>
      <c r="L22" s="137"/>
      <c r="M22" s="5"/>
    </row>
    <row r="23" spans="1:63" x14ac:dyDescent="0.3">
      <c r="A23" s="88" t="s">
        <v>12</v>
      </c>
      <c r="B23" s="13"/>
      <c r="C23" s="13" t="s">
        <v>23</v>
      </c>
      <c r="D23" s="13" t="s">
        <v>49</v>
      </c>
      <c r="E23" s="13" t="s">
        <v>72</v>
      </c>
      <c r="F23" s="23">
        <v>1</v>
      </c>
      <c r="G23" s="178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23">
        <f>F23*K23</f>
        <v>0</v>
      </c>
      <c r="M23" s="5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102</v>
      </c>
      <c r="AY23" s="35" t="s">
        <v>109</v>
      </c>
      <c r="AZ23" s="30" t="s">
        <v>113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118</v>
      </c>
      <c r="BK23" s="33" t="s">
        <v>22</v>
      </c>
    </row>
    <row r="24" spans="1:63" ht="25.65" customHeight="1" x14ac:dyDescent="0.3">
      <c r="A24" s="5"/>
      <c r="C24" s="16" t="s">
        <v>18</v>
      </c>
      <c r="D24" s="136" t="s">
        <v>50</v>
      </c>
      <c r="E24" s="137"/>
      <c r="F24" s="137"/>
      <c r="G24" s="137"/>
      <c r="H24" s="137"/>
      <c r="I24" s="137"/>
      <c r="J24" s="137"/>
      <c r="K24" s="137"/>
      <c r="L24" s="137"/>
      <c r="M24" s="5"/>
    </row>
    <row r="25" spans="1:63" x14ac:dyDescent="0.3">
      <c r="A25" s="88" t="s">
        <v>13</v>
      </c>
      <c r="B25" s="13"/>
      <c r="C25" s="13" t="s">
        <v>23</v>
      </c>
      <c r="D25" s="13" t="s">
        <v>51</v>
      </c>
      <c r="E25" s="13" t="s">
        <v>72</v>
      </c>
      <c r="F25" s="23">
        <v>1</v>
      </c>
      <c r="G25" s="178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23">
        <f>F25*K25</f>
        <v>0</v>
      </c>
      <c r="M25" s="5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102</v>
      </c>
      <c r="AY25" s="35" t="s">
        <v>109</v>
      </c>
      <c r="AZ25" s="30" t="s">
        <v>113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118</v>
      </c>
      <c r="BK25" s="33" t="s">
        <v>22</v>
      </c>
    </row>
    <row r="26" spans="1:63" ht="12.9" x14ac:dyDescent="0.3">
      <c r="A26" s="5"/>
      <c r="C26" s="16" t="s">
        <v>18</v>
      </c>
      <c r="D26" s="136" t="s">
        <v>52</v>
      </c>
      <c r="E26" s="137"/>
      <c r="F26" s="137"/>
      <c r="G26" s="137"/>
      <c r="H26" s="137"/>
      <c r="I26" s="137"/>
      <c r="J26" s="137"/>
      <c r="K26" s="137"/>
      <c r="L26" s="137"/>
      <c r="M26" s="5"/>
    </row>
    <row r="27" spans="1:63" x14ac:dyDescent="0.3">
      <c r="A27" s="6"/>
      <c r="B27" s="14"/>
      <c r="C27" s="14" t="s">
        <v>24</v>
      </c>
      <c r="D27" s="14" t="s">
        <v>53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38">
        <f>SUM(L28:L28)</f>
        <v>0</v>
      </c>
      <c r="M27" s="5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3">
      <c r="A28" s="89" t="s">
        <v>14</v>
      </c>
      <c r="B28" s="20"/>
      <c r="C28" s="20" t="s">
        <v>25</v>
      </c>
      <c r="D28" s="94" t="s">
        <v>54</v>
      </c>
      <c r="E28" s="94" t="s">
        <v>72</v>
      </c>
      <c r="F28" s="33">
        <v>1</v>
      </c>
      <c r="G28" s="180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103</v>
      </c>
      <c r="AY28" s="35" t="s">
        <v>109</v>
      </c>
      <c r="AZ28" s="30" t="s">
        <v>113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118</v>
      </c>
      <c r="BK28" s="33" t="s">
        <v>24</v>
      </c>
    </row>
    <row r="29" spans="1:63" ht="12.9" x14ac:dyDescent="0.3">
      <c r="A29" s="5"/>
      <c r="C29" s="16" t="s">
        <v>18</v>
      </c>
      <c r="D29" s="136" t="s">
        <v>55</v>
      </c>
      <c r="E29" s="137"/>
      <c r="F29" s="137"/>
      <c r="G29" s="137"/>
      <c r="H29" s="137"/>
      <c r="I29" s="137"/>
      <c r="J29" s="137"/>
      <c r="K29" s="137"/>
      <c r="L29" s="144"/>
      <c r="M29" s="72"/>
    </row>
    <row r="30" spans="1:63" x14ac:dyDescent="0.3">
      <c r="A30" s="6"/>
      <c r="B30" s="14"/>
      <c r="C30" s="14" t="s">
        <v>16</v>
      </c>
      <c r="D30" s="14" t="s">
        <v>56</v>
      </c>
      <c r="E30" s="22" t="s">
        <v>6</v>
      </c>
      <c r="F30" s="22" t="s">
        <v>6</v>
      </c>
      <c r="G30" s="22" t="s">
        <v>6</v>
      </c>
      <c r="H30" s="38">
        <f>SUM(H31:H31)</f>
        <v>0</v>
      </c>
      <c r="I30" s="38">
        <f>SUM(I31:I33)</f>
        <v>0</v>
      </c>
      <c r="J30" s="38">
        <f>SUM(J31:J33)</f>
        <v>0</v>
      </c>
      <c r="K30" s="30"/>
      <c r="L30" s="100">
        <f>SUM(L31:L33)</f>
        <v>386.43</v>
      </c>
      <c r="M30" s="72"/>
      <c r="AH30" s="30"/>
      <c r="AR30" s="38">
        <f>SUM(AI31:AI31)</f>
        <v>0</v>
      </c>
      <c r="AS30" s="38">
        <f>SUM(AJ31:AJ31)</f>
        <v>0</v>
      </c>
      <c r="AT30" s="38">
        <f>SUM(AK31:AK31)</f>
        <v>0</v>
      </c>
    </row>
    <row r="31" spans="1:63" x14ac:dyDescent="0.3">
      <c r="A31" s="88" t="s">
        <v>15</v>
      </c>
      <c r="B31" s="13"/>
      <c r="C31" s="95" t="s">
        <v>175</v>
      </c>
      <c r="D31" s="95" t="s">
        <v>190</v>
      </c>
      <c r="E31" s="13" t="s">
        <v>73</v>
      </c>
      <c r="F31" s="83">
        <v>3413</v>
      </c>
      <c r="G31" s="178"/>
      <c r="H31" s="83">
        <f>F31*AN31</f>
        <v>0</v>
      </c>
      <c r="I31" s="83">
        <f>F31*AO31</f>
        <v>0</v>
      </c>
      <c r="J31" s="83">
        <f>F31*G31</f>
        <v>0</v>
      </c>
      <c r="K31" s="83">
        <v>0.11</v>
      </c>
      <c r="L31" s="97">
        <f>F31*K31</f>
        <v>375.43</v>
      </c>
      <c r="M31" s="72"/>
      <c r="Y31" s="33">
        <f>IF(AP31="5",BI31,0)</f>
        <v>0</v>
      </c>
      <c r="AA31" s="33">
        <f>IF(AP31="1",BG31,0)</f>
        <v>0</v>
      </c>
      <c r="AB31" s="33">
        <f>IF(AP31="1",BH31,0)</f>
        <v>0</v>
      </c>
      <c r="AC31" s="33">
        <f>IF(AP31="7",BG31,0)</f>
        <v>0</v>
      </c>
      <c r="AD31" s="33">
        <f>IF(AP31="7",BH31,0)</f>
        <v>0</v>
      </c>
      <c r="AE31" s="33">
        <f>IF(AP31="2",BG31,0)</f>
        <v>0</v>
      </c>
      <c r="AF31" s="33">
        <f>IF(AP31="2",BH31,0)</f>
        <v>0</v>
      </c>
      <c r="AG31" s="33">
        <f>IF(AP31="0",BI31,0)</f>
        <v>0</v>
      </c>
      <c r="AH31" s="30"/>
      <c r="AI31" s="23">
        <f>IF(AM31=0,J31,0)</f>
        <v>0</v>
      </c>
      <c r="AJ31" s="23">
        <f>IF(AM31=15,J31,0)</f>
        <v>0</v>
      </c>
      <c r="AK31" s="23">
        <f>IF(AM31=21,J31,0)</f>
        <v>0</v>
      </c>
      <c r="AM31" s="33">
        <v>21</v>
      </c>
      <c r="AN31" s="33">
        <f>G31*0</f>
        <v>0</v>
      </c>
      <c r="AO31" s="33">
        <f>G31*(1-0)</f>
        <v>0</v>
      </c>
      <c r="AP31" s="34" t="s">
        <v>7</v>
      </c>
      <c r="AU31" s="33">
        <f>AV31+AW31</f>
        <v>0</v>
      </c>
      <c r="AV31" s="33">
        <f>F31*AN31</f>
        <v>0</v>
      </c>
      <c r="AW31" s="33">
        <f>F31*AO31</f>
        <v>0</v>
      </c>
      <c r="AX31" s="35" t="s">
        <v>104</v>
      </c>
      <c r="AY31" s="35" t="s">
        <v>110</v>
      </c>
      <c r="AZ31" s="30" t="s">
        <v>113</v>
      </c>
      <c r="BB31" s="33">
        <f>AV31+AW31</f>
        <v>0</v>
      </c>
      <c r="BC31" s="33">
        <f>G31/(100-BD31)*100</f>
        <v>0</v>
      </c>
      <c r="BD31" s="33">
        <v>0</v>
      </c>
      <c r="BE31" s="33">
        <f>L31</f>
        <v>375.43</v>
      </c>
      <c r="BG31" s="23">
        <f>F31*AN31</f>
        <v>0</v>
      </c>
      <c r="BH31" s="23">
        <f>F31*AO31</f>
        <v>0</v>
      </c>
      <c r="BI31" s="23">
        <f>F31*G31</f>
        <v>0</v>
      </c>
      <c r="BJ31" s="23" t="s">
        <v>118</v>
      </c>
      <c r="BK31" s="33">
        <v>11</v>
      </c>
    </row>
    <row r="32" spans="1:63" ht="12.9" x14ac:dyDescent="0.3">
      <c r="A32" s="5"/>
      <c r="C32" s="82" t="s">
        <v>18</v>
      </c>
      <c r="D32" s="145" t="s">
        <v>174</v>
      </c>
      <c r="E32" s="146"/>
      <c r="F32" s="146"/>
      <c r="G32" s="146"/>
      <c r="H32" s="146"/>
      <c r="I32" s="146"/>
      <c r="J32" s="146"/>
      <c r="K32" s="146"/>
      <c r="L32" s="146"/>
      <c r="M32" s="72"/>
    </row>
    <row r="33" spans="1:63" s="81" customFormat="1" x14ac:dyDescent="0.3">
      <c r="A33" s="5">
        <v>10</v>
      </c>
      <c r="C33" s="95" t="s">
        <v>175</v>
      </c>
      <c r="D33" s="95" t="s">
        <v>197</v>
      </c>
      <c r="E33" s="13" t="s">
        <v>73</v>
      </c>
      <c r="F33" s="83">
        <v>100</v>
      </c>
      <c r="G33" s="178"/>
      <c r="H33" s="83">
        <f>F33*AN33</f>
        <v>0</v>
      </c>
      <c r="I33" s="83">
        <f>J33</f>
        <v>0</v>
      </c>
      <c r="J33" s="83">
        <f>F33*G33</f>
        <v>0</v>
      </c>
      <c r="K33" s="83">
        <v>0.11</v>
      </c>
      <c r="L33" s="97">
        <f>F33*K33</f>
        <v>11</v>
      </c>
      <c r="M33" s="72"/>
    </row>
    <row r="34" spans="1:63" s="81" customFormat="1" ht="12.9" x14ac:dyDescent="0.3">
      <c r="A34" s="5"/>
      <c r="C34" s="82" t="s">
        <v>18</v>
      </c>
      <c r="D34" s="145" t="s">
        <v>198</v>
      </c>
      <c r="E34" s="146"/>
      <c r="F34" s="146"/>
      <c r="G34" s="146"/>
      <c r="H34" s="146"/>
      <c r="I34" s="146"/>
      <c r="J34" s="146"/>
      <c r="K34" s="146"/>
      <c r="L34" s="146"/>
      <c r="M34" s="72"/>
    </row>
    <row r="35" spans="1:63" x14ac:dyDescent="0.3">
      <c r="A35" s="6"/>
      <c r="B35" s="14"/>
      <c r="C35" s="14" t="s">
        <v>27</v>
      </c>
      <c r="D35" s="91" t="s">
        <v>57</v>
      </c>
      <c r="E35" s="22" t="s">
        <v>6</v>
      </c>
      <c r="F35" s="22" t="s">
        <v>6</v>
      </c>
      <c r="G35" s="22" t="s">
        <v>6</v>
      </c>
      <c r="H35" s="38">
        <f>SUM(H36:H45)</f>
        <v>0</v>
      </c>
      <c r="I35" s="38">
        <f>SUM(I36:I45)</f>
        <v>0</v>
      </c>
      <c r="J35" s="38">
        <f>SUM(J36:J45)</f>
        <v>0</v>
      </c>
      <c r="K35" s="30"/>
      <c r="L35" s="38">
        <f>SUM(L36:L45)</f>
        <v>462.17789999999997</v>
      </c>
      <c r="M35" s="5"/>
      <c r="AH35" s="30"/>
      <c r="AR35" s="38">
        <f>SUM(AI36:AI46)</f>
        <v>0</v>
      </c>
      <c r="AS35" s="38">
        <f>SUM(AJ36:AJ46)</f>
        <v>0</v>
      </c>
      <c r="AT35" s="38">
        <f>SUM(AK36:AK46)</f>
        <v>0</v>
      </c>
    </row>
    <row r="36" spans="1:63" x14ac:dyDescent="0.3">
      <c r="A36" s="4" t="s">
        <v>16</v>
      </c>
      <c r="B36" s="13"/>
      <c r="C36" s="13" t="s">
        <v>28</v>
      </c>
      <c r="D36" s="13" t="s">
        <v>58</v>
      </c>
      <c r="E36" s="13" t="s">
        <v>73</v>
      </c>
      <c r="F36" s="83">
        <v>3513</v>
      </c>
      <c r="G36" s="178"/>
      <c r="H36" s="83">
        <f>F36*AN36</f>
        <v>0</v>
      </c>
      <c r="I36" s="83">
        <f>F36*AO36</f>
        <v>0</v>
      </c>
      <c r="J36" s="83">
        <f>F36*G36</f>
        <v>0</v>
      </c>
      <c r="K36" s="83">
        <v>3.1E-4</v>
      </c>
      <c r="L36" s="97">
        <f>F36*K36</f>
        <v>1.0890299999999999</v>
      </c>
      <c r="M36" s="72"/>
      <c r="Y36" s="33">
        <f>IF(AP36="5",BI36,0)</f>
        <v>0</v>
      </c>
      <c r="AA36" s="33">
        <f>IF(AP36="1",BG36,0)</f>
        <v>0</v>
      </c>
      <c r="AB36" s="33">
        <f>IF(AP36="1",BH36,0)</f>
        <v>0</v>
      </c>
      <c r="AC36" s="33">
        <f>IF(AP36="7",BG36,0)</f>
        <v>0</v>
      </c>
      <c r="AD36" s="33">
        <f>IF(AP36="7",BH36,0)</f>
        <v>0</v>
      </c>
      <c r="AE36" s="33">
        <f>IF(AP36="2",BG36,0)</f>
        <v>0</v>
      </c>
      <c r="AF36" s="33">
        <f>IF(AP36="2",BH36,0)</f>
        <v>0</v>
      </c>
      <c r="AG36" s="33">
        <f>IF(AP36="0",BI36,0)</f>
        <v>0</v>
      </c>
      <c r="AH36" s="30"/>
      <c r="AI36" s="23">
        <f>IF(AM36=0,J36,0)</f>
        <v>0</v>
      </c>
      <c r="AJ36" s="23">
        <f>IF(AM36=15,J36,0)</f>
        <v>0</v>
      </c>
      <c r="AK36" s="23">
        <f>IF(AM36=21,J36,0)</f>
        <v>0</v>
      </c>
      <c r="AM36" s="33">
        <v>21</v>
      </c>
      <c r="AN36" s="33">
        <f>G36*0.861735602860608</f>
        <v>0</v>
      </c>
      <c r="AO36" s="33">
        <f>G36*(1-0.861735602860608)</f>
        <v>0</v>
      </c>
      <c r="AP36" s="34" t="s">
        <v>7</v>
      </c>
      <c r="AU36" s="33">
        <f>AV36+AW36</f>
        <v>0</v>
      </c>
      <c r="AV36" s="33">
        <f>F36*AN36</f>
        <v>0</v>
      </c>
      <c r="AW36" s="33">
        <f>F36*AO36</f>
        <v>0</v>
      </c>
      <c r="AX36" s="35" t="s">
        <v>105</v>
      </c>
      <c r="AY36" s="35" t="s">
        <v>111</v>
      </c>
      <c r="AZ36" s="30" t="s">
        <v>113</v>
      </c>
      <c r="BB36" s="33">
        <f>AV36+AW36</f>
        <v>0</v>
      </c>
      <c r="BC36" s="33">
        <f>G36/(100-BD36)*100</f>
        <v>0</v>
      </c>
      <c r="BD36" s="33">
        <v>0</v>
      </c>
      <c r="BE36" s="33">
        <f>L36</f>
        <v>1.0890299999999999</v>
      </c>
      <c r="BG36" s="23">
        <f>F36*AN36</f>
        <v>0</v>
      </c>
      <c r="BH36" s="23">
        <f>F36*AO36</f>
        <v>0</v>
      </c>
      <c r="BI36" s="23">
        <f>F36*G36</f>
        <v>0</v>
      </c>
      <c r="BJ36" s="23" t="s">
        <v>118</v>
      </c>
      <c r="BK36" s="33">
        <v>57</v>
      </c>
    </row>
    <row r="37" spans="1:63" ht="12.9" x14ac:dyDescent="0.3">
      <c r="A37" s="5"/>
      <c r="C37" s="17" t="s">
        <v>26</v>
      </c>
      <c r="D37" s="145" t="s">
        <v>59</v>
      </c>
      <c r="E37" s="146"/>
      <c r="F37" s="146"/>
      <c r="G37" s="146"/>
      <c r="H37" s="146"/>
      <c r="I37" s="146"/>
      <c r="J37" s="146"/>
      <c r="K37" s="146"/>
      <c r="L37" s="146"/>
      <c r="M37" s="72"/>
    </row>
    <row r="38" spans="1:63" s="81" customFormat="1" ht="12.9" x14ac:dyDescent="0.3">
      <c r="A38" s="5"/>
      <c r="C38" s="17"/>
      <c r="D38" s="94"/>
      <c r="E38" s="107"/>
      <c r="F38" s="107"/>
      <c r="G38" s="107"/>
      <c r="H38" s="107"/>
      <c r="I38" s="107"/>
      <c r="J38" s="107"/>
      <c r="K38" s="107"/>
      <c r="L38" s="107"/>
      <c r="M38" s="72"/>
    </row>
    <row r="39" spans="1:63" s="81" customFormat="1" x14ac:dyDescent="0.3">
      <c r="A39" s="4" t="s">
        <v>180</v>
      </c>
      <c r="B39" s="13"/>
      <c r="C39" s="13" t="s">
        <v>192</v>
      </c>
      <c r="D39" s="13" t="s">
        <v>193</v>
      </c>
      <c r="E39" s="13" t="s">
        <v>73</v>
      </c>
      <c r="F39" s="83">
        <v>100</v>
      </c>
      <c r="G39" s="178"/>
      <c r="H39" s="83">
        <f>F39*AN39</f>
        <v>0</v>
      </c>
      <c r="I39" s="83">
        <f>F39*AO39</f>
        <v>0</v>
      </c>
      <c r="J39" s="83">
        <f>F39*G39</f>
        <v>0</v>
      </c>
      <c r="K39" s="83">
        <v>0.17</v>
      </c>
      <c r="L39" s="83">
        <f>F39*K39</f>
        <v>17</v>
      </c>
      <c r="M39" s="5"/>
      <c r="Y39" s="33">
        <f>IF(AP39="5",BI39,0)</f>
        <v>0</v>
      </c>
      <c r="AA39" s="33">
        <f>IF(AP39="1",BG39,0)</f>
        <v>0</v>
      </c>
      <c r="AB39" s="33">
        <f>IF(AP39="1",BH39,0)</f>
        <v>0</v>
      </c>
      <c r="AC39" s="33">
        <f>IF(AP39="7",BG39,0)</f>
        <v>0</v>
      </c>
      <c r="AD39" s="33">
        <f>IF(AP39="7",BH39,0)</f>
        <v>0</v>
      </c>
      <c r="AE39" s="33">
        <f>IF(AP39="2",BG39,0)</f>
        <v>0</v>
      </c>
      <c r="AF39" s="33">
        <f>IF(AP39="2",BH39,0)</f>
        <v>0</v>
      </c>
      <c r="AG39" s="33">
        <f>IF(AP39="0",BI39,0)</f>
        <v>0</v>
      </c>
      <c r="AH39" s="30"/>
      <c r="AI39" s="83">
        <f>IF(AM39=0,J39,0)</f>
        <v>0</v>
      </c>
      <c r="AJ39" s="83">
        <f>IF(AM39=15,J39,0)</f>
        <v>0</v>
      </c>
      <c r="AK39" s="83">
        <f>IF(AM39=21,J39,0)</f>
        <v>0</v>
      </c>
      <c r="AM39" s="33">
        <v>21</v>
      </c>
      <c r="AN39" s="33">
        <f>G39*0.598633333333333</f>
        <v>0</v>
      </c>
      <c r="AO39" s="33">
        <f>G39*(1-0.598633333333333)</f>
        <v>0</v>
      </c>
      <c r="AP39" s="34" t="s">
        <v>7</v>
      </c>
      <c r="AU39" s="33">
        <f>AV39+AW39</f>
        <v>0</v>
      </c>
      <c r="AV39" s="33">
        <f>F39*AN39</f>
        <v>0</v>
      </c>
      <c r="AW39" s="33">
        <f>F39*AO39</f>
        <v>0</v>
      </c>
      <c r="AX39" s="35" t="s">
        <v>105</v>
      </c>
      <c r="AY39" s="35" t="s">
        <v>111</v>
      </c>
      <c r="AZ39" s="30" t="s">
        <v>113</v>
      </c>
      <c r="BB39" s="33">
        <f>AV39+AW39</f>
        <v>0</v>
      </c>
      <c r="BC39" s="33">
        <f>G39/(100-BD39)*100</f>
        <v>0</v>
      </c>
      <c r="BD39" s="33">
        <v>0</v>
      </c>
      <c r="BE39" s="33">
        <f>L39</f>
        <v>17</v>
      </c>
      <c r="BG39" s="83">
        <f>F39*AN39</f>
        <v>0</v>
      </c>
      <c r="BH39" s="83">
        <f>F39*AO39</f>
        <v>0</v>
      </c>
      <c r="BI39" s="83">
        <f>F39*G39</f>
        <v>0</v>
      </c>
      <c r="BJ39" s="83" t="s">
        <v>118</v>
      </c>
      <c r="BK39" s="33">
        <v>57</v>
      </c>
    </row>
    <row r="40" spans="1:63" s="81" customFormat="1" ht="12.9" x14ac:dyDescent="0.3">
      <c r="A40" s="5"/>
      <c r="D40" s="19"/>
      <c r="E40" s="98"/>
      <c r="F40" s="24"/>
      <c r="G40" s="98"/>
      <c r="H40" s="98"/>
      <c r="I40" s="98"/>
      <c r="J40" s="98"/>
      <c r="K40" s="98"/>
      <c r="L40" s="99"/>
      <c r="M40" s="72"/>
    </row>
    <row r="41" spans="1:63" ht="37.299999999999997" x14ac:dyDescent="0.3">
      <c r="A41" s="4" t="s">
        <v>203</v>
      </c>
      <c r="B41" s="13"/>
      <c r="C41" s="96" t="s">
        <v>176</v>
      </c>
      <c r="D41" s="103" t="s">
        <v>178</v>
      </c>
      <c r="E41" s="13" t="s">
        <v>73</v>
      </c>
      <c r="F41" s="83">
        <v>3413</v>
      </c>
      <c r="G41" s="178"/>
      <c r="H41" s="83">
        <f>F41*AN41</f>
        <v>0</v>
      </c>
      <c r="I41" s="83">
        <f>F41*AO41</f>
        <v>0</v>
      </c>
      <c r="J41" s="83">
        <f>F41*G41</f>
        <v>0</v>
      </c>
      <c r="K41" s="83">
        <v>0.12966</v>
      </c>
      <c r="L41" s="97">
        <f>F41*K41</f>
        <v>442.52958000000001</v>
      </c>
      <c r="M41" s="72"/>
      <c r="Y41" s="33">
        <f>IF(AP41="5",BI41,0)</f>
        <v>0</v>
      </c>
      <c r="AA41" s="33">
        <f>IF(AP41="1",BG41,0)</f>
        <v>0</v>
      </c>
      <c r="AB41" s="33">
        <f>IF(AP41="1",BH41,0)</f>
        <v>0</v>
      </c>
      <c r="AC41" s="33">
        <f>IF(AP41="7",BG41,0)</f>
        <v>0</v>
      </c>
      <c r="AD41" s="33">
        <f>IF(AP41="7",BH41,0)</f>
        <v>0</v>
      </c>
      <c r="AE41" s="33">
        <f>IF(AP41="2",BG41,0)</f>
        <v>0</v>
      </c>
      <c r="AF41" s="33">
        <f>IF(AP41="2",BH41,0)</f>
        <v>0</v>
      </c>
      <c r="AG41" s="33">
        <f>IF(AP41="0",BI41,0)</f>
        <v>0</v>
      </c>
      <c r="AH41" s="30"/>
      <c r="AI41" s="23">
        <f>IF(AM41=0,J41,0)</f>
        <v>0</v>
      </c>
      <c r="AJ41" s="23">
        <f>IF(AM41=15,J41,0)</f>
        <v>0</v>
      </c>
      <c r="AK41" s="23">
        <f>IF(AM41=21,J41,0)</f>
        <v>0</v>
      </c>
      <c r="AM41" s="33">
        <v>21</v>
      </c>
      <c r="AN41" s="33">
        <f>G41*0.638098676293622</f>
        <v>0</v>
      </c>
      <c r="AO41" s="33">
        <f>G41*(1-0.638098676293622)</f>
        <v>0</v>
      </c>
      <c r="AP41" s="34" t="s">
        <v>7</v>
      </c>
      <c r="AU41" s="33">
        <f>AV41+AW41</f>
        <v>0</v>
      </c>
      <c r="AV41" s="33">
        <f>F41*AN41</f>
        <v>0</v>
      </c>
      <c r="AW41" s="33">
        <f>F41*AO41</f>
        <v>0</v>
      </c>
      <c r="AX41" s="35" t="s">
        <v>105</v>
      </c>
      <c r="AY41" s="35" t="s">
        <v>111</v>
      </c>
      <c r="AZ41" s="30" t="s">
        <v>113</v>
      </c>
      <c r="BB41" s="33">
        <f>AV41+AW41</f>
        <v>0</v>
      </c>
      <c r="BC41" s="33">
        <f>G41/(100-BD41)*100</f>
        <v>0</v>
      </c>
      <c r="BD41" s="33">
        <v>0</v>
      </c>
      <c r="BE41" s="33">
        <f>L41</f>
        <v>442.52958000000001</v>
      </c>
      <c r="BG41" s="23">
        <f>F41*AN41</f>
        <v>0</v>
      </c>
      <c r="BH41" s="23">
        <f>F41*AO41</f>
        <v>0</v>
      </c>
      <c r="BI41" s="23">
        <f>F41*G41</f>
        <v>0</v>
      </c>
      <c r="BJ41" s="23" t="s">
        <v>118</v>
      </c>
      <c r="BK41" s="33">
        <v>57</v>
      </c>
    </row>
    <row r="42" spans="1:63" s="81" customFormat="1" x14ac:dyDescent="0.3">
      <c r="A42" s="88"/>
      <c r="B42" s="13"/>
      <c r="C42" s="96"/>
      <c r="D42" s="103"/>
      <c r="E42" s="13"/>
      <c r="F42" s="83"/>
      <c r="G42" s="83"/>
      <c r="H42" s="83"/>
      <c r="I42" s="83"/>
      <c r="J42" s="83"/>
      <c r="K42" s="83"/>
      <c r="L42" s="97"/>
      <c r="M42" s="72"/>
      <c r="Y42" s="33"/>
      <c r="AA42" s="33"/>
      <c r="AB42" s="33"/>
      <c r="AC42" s="33"/>
      <c r="AD42" s="33"/>
      <c r="AE42" s="33"/>
      <c r="AF42" s="33"/>
      <c r="AG42" s="33"/>
      <c r="AH42" s="30"/>
      <c r="AI42" s="83"/>
      <c r="AJ42" s="83"/>
      <c r="AK42" s="83"/>
      <c r="AM42" s="33"/>
      <c r="AN42" s="33"/>
      <c r="AO42" s="33"/>
      <c r="AP42" s="34"/>
      <c r="AU42" s="33"/>
      <c r="AV42" s="33"/>
      <c r="AW42" s="33"/>
      <c r="AX42" s="35"/>
      <c r="AY42" s="35"/>
      <c r="AZ42" s="30"/>
      <c r="BB42" s="33"/>
      <c r="BC42" s="33"/>
      <c r="BD42" s="33"/>
      <c r="BE42" s="33"/>
      <c r="BG42" s="83"/>
      <c r="BH42" s="83"/>
      <c r="BI42" s="83"/>
      <c r="BJ42" s="83"/>
      <c r="BK42" s="33"/>
    </row>
    <row r="43" spans="1:63" s="81" customFormat="1" x14ac:dyDescent="0.3">
      <c r="A43" s="5">
        <v>14</v>
      </c>
      <c r="C43" s="13" t="s">
        <v>188</v>
      </c>
      <c r="D43" s="120" t="s">
        <v>191</v>
      </c>
      <c r="E43" s="13" t="s">
        <v>73</v>
      </c>
      <c r="F43" s="83">
        <v>10</v>
      </c>
      <c r="G43" s="178"/>
      <c r="H43" s="83">
        <f>F43*0.4*G43</f>
        <v>0</v>
      </c>
      <c r="I43" s="83">
        <f>F43*0.6*G43</f>
        <v>0</v>
      </c>
      <c r="J43" s="83">
        <f>F43*G43</f>
        <v>0</v>
      </c>
      <c r="K43" s="83">
        <v>7.3899999999999993E-2</v>
      </c>
      <c r="L43" s="97">
        <v>1.5592900000000001</v>
      </c>
      <c r="M43" s="83"/>
    </row>
    <row r="44" spans="1:63" s="81" customFormat="1" ht="24.9" x14ac:dyDescent="0.3">
      <c r="A44" s="5"/>
      <c r="C44" s="17"/>
      <c r="D44" s="121" t="s">
        <v>189</v>
      </c>
      <c r="E44" s="101"/>
      <c r="F44" s="101"/>
      <c r="G44" s="101"/>
      <c r="H44" s="101"/>
      <c r="I44" s="101"/>
      <c r="J44" s="101"/>
      <c r="K44" s="101"/>
      <c r="L44" s="102"/>
      <c r="M44" s="72"/>
    </row>
    <row r="45" spans="1:63" s="81" customFormat="1" ht="13.3" thickBot="1" x14ac:dyDescent="0.35">
      <c r="A45" s="72"/>
      <c r="C45" s="17"/>
      <c r="D45" s="93"/>
      <c r="E45" s="119"/>
      <c r="F45" s="119"/>
      <c r="G45" s="119"/>
      <c r="H45" s="119"/>
      <c r="I45" s="119"/>
      <c r="J45" s="119"/>
      <c r="K45" s="119"/>
      <c r="L45" s="102"/>
      <c r="M45" s="72"/>
    </row>
    <row r="46" spans="1:63" s="81" customFormat="1" x14ac:dyDescent="0.3">
      <c r="A46" s="14"/>
      <c r="B46" s="14"/>
      <c r="C46" s="14" t="s">
        <v>181</v>
      </c>
      <c r="D46" s="14" t="s">
        <v>182</v>
      </c>
      <c r="E46" s="14" t="s">
        <v>6</v>
      </c>
      <c r="F46" s="14" t="s">
        <v>6</v>
      </c>
      <c r="G46" s="108" t="s">
        <v>6</v>
      </c>
      <c r="H46" s="38">
        <f>SUM(H47:H47)</f>
        <v>0</v>
      </c>
      <c r="I46" s="38">
        <f>SUM(I47:I47)</f>
        <v>0</v>
      </c>
      <c r="J46" s="38">
        <f>SUM(J47:J47)</f>
        <v>0</v>
      </c>
      <c r="K46" s="109"/>
      <c r="L46" s="110">
        <v>0.86</v>
      </c>
      <c r="M46" s="13"/>
      <c r="AH46" s="29"/>
      <c r="AR46" s="37">
        <v>0</v>
      </c>
      <c r="AS46" s="37">
        <v>0</v>
      </c>
      <c r="AT46" s="37">
        <v>10728</v>
      </c>
    </row>
    <row r="47" spans="1:63" s="114" customFormat="1" ht="24.9" x14ac:dyDescent="0.3">
      <c r="A47" s="111" t="s">
        <v>17</v>
      </c>
      <c r="B47" s="111"/>
      <c r="C47" s="111" t="s">
        <v>183</v>
      </c>
      <c r="D47" s="118" t="s">
        <v>200</v>
      </c>
      <c r="E47" s="111" t="s">
        <v>184</v>
      </c>
      <c r="F47" s="112" t="s">
        <v>203</v>
      </c>
      <c r="G47" s="181"/>
      <c r="H47" s="83">
        <f>F47*0.3*G47</f>
        <v>0</v>
      </c>
      <c r="I47" s="83">
        <f>F47*0.7*G47</f>
        <v>0</v>
      </c>
      <c r="J47" s="83">
        <f>F47*G47</f>
        <v>0</v>
      </c>
      <c r="K47" s="113">
        <v>0.43093999999999999</v>
      </c>
      <c r="L47" s="83">
        <f>F47*K47</f>
        <v>5.60222</v>
      </c>
      <c r="M47" s="111"/>
      <c r="Y47" s="115">
        <v>0</v>
      </c>
      <c r="AA47" s="115">
        <v>2992.9999999999991</v>
      </c>
      <c r="AB47" s="115">
        <v>6487</v>
      </c>
      <c r="AC47" s="115">
        <v>0</v>
      </c>
      <c r="AD47" s="115">
        <v>0</v>
      </c>
      <c r="AE47" s="115">
        <v>0</v>
      </c>
      <c r="AF47" s="115">
        <v>0</v>
      </c>
      <c r="AG47" s="115">
        <v>0</v>
      </c>
      <c r="AH47" s="112"/>
      <c r="AI47" s="116">
        <v>0</v>
      </c>
      <c r="AJ47" s="116">
        <v>0</v>
      </c>
      <c r="AK47" s="116">
        <v>9480</v>
      </c>
      <c r="AM47" s="115">
        <v>21</v>
      </c>
      <c r="AN47" s="115">
        <v>748.24999999999977</v>
      </c>
      <c r="AO47" s="115">
        <v>1621.75</v>
      </c>
      <c r="AP47" s="117" t="s">
        <v>7</v>
      </c>
      <c r="AU47" s="115">
        <v>9480</v>
      </c>
      <c r="AV47" s="115">
        <v>2992.9999999999991</v>
      </c>
      <c r="AW47" s="115">
        <v>6487</v>
      </c>
      <c r="AX47" s="112" t="s">
        <v>185</v>
      </c>
      <c r="AY47" s="112" t="s">
        <v>186</v>
      </c>
      <c r="AZ47" s="112" t="s">
        <v>113</v>
      </c>
      <c r="BB47" s="115">
        <v>9480</v>
      </c>
      <c r="BC47" s="115">
        <v>2370</v>
      </c>
      <c r="BD47" s="115">
        <v>0</v>
      </c>
      <c r="BE47" s="115">
        <v>1.72376</v>
      </c>
      <c r="BG47" s="116">
        <v>2992.9999999999991</v>
      </c>
      <c r="BH47" s="116">
        <v>6487</v>
      </c>
      <c r="BI47" s="116">
        <v>9480</v>
      </c>
      <c r="BJ47" s="116" t="s">
        <v>118</v>
      </c>
      <c r="BK47" s="115">
        <v>89</v>
      </c>
    </row>
    <row r="48" spans="1:63" s="114" customFormat="1" ht="24.9" x14ac:dyDescent="0.3">
      <c r="A48" s="111" t="s">
        <v>194</v>
      </c>
      <c r="B48" s="111"/>
      <c r="C48" s="111" t="s">
        <v>183</v>
      </c>
      <c r="D48" s="118" t="s">
        <v>201</v>
      </c>
      <c r="E48" s="111" t="s">
        <v>184</v>
      </c>
      <c r="F48" s="112" t="s">
        <v>11</v>
      </c>
      <c r="G48" s="181"/>
      <c r="H48" s="83">
        <f>F48*0.3*G48</f>
        <v>0</v>
      </c>
      <c r="I48" s="83">
        <f>F48*0.7*G48</f>
        <v>0</v>
      </c>
      <c r="J48" s="83">
        <f>F48*G48</f>
        <v>0</v>
      </c>
      <c r="K48" s="113">
        <v>0.43093999999999999</v>
      </c>
      <c r="L48" s="83">
        <f>F48*K48</f>
        <v>2.1547000000000001</v>
      </c>
      <c r="M48" s="111"/>
      <c r="Y48" s="115">
        <v>0</v>
      </c>
      <c r="AA48" s="115">
        <v>2992.9999999999991</v>
      </c>
      <c r="AB48" s="115">
        <v>6487</v>
      </c>
      <c r="AC48" s="115">
        <v>0</v>
      </c>
      <c r="AD48" s="115">
        <v>0</v>
      </c>
      <c r="AE48" s="115">
        <v>0</v>
      </c>
      <c r="AF48" s="115">
        <v>0</v>
      </c>
      <c r="AG48" s="115">
        <v>0</v>
      </c>
      <c r="AH48" s="112"/>
      <c r="AI48" s="116">
        <v>0</v>
      </c>
      <c r="AJ48" s="116">
        <v>0</v>
      </c>
      <c r="AK48" s="116">
        <v>9480</v>
      </c>
      <c r="AM48" s="115">
        <v>21</v>
      </c>
      <c r="AN48" s="115">
        <v>748.24999999999977</v>
      </c>
      <c r="AO48" s="115">
        <v>1621.75</v>
      </c>
      <c r="AP48" s="117" t="s">
        <v>7</v>
      </c>
      <c r="AU48" s="115">
        <v>9480</v>
      </c>
      <c r="AV48" s="115">
        <v>2992.9999999999991</v>
      </c>
      <c r="AW48" s="115">
        <v>6487</v>
      </c>
      <c r="AX48" s="112" t="s">
        <v>185</v>
      </c>
      <c r="AY48" s="112" t="s">
        <v>186</v>
      </c>
      <c r="AZ48" s="112" t="s">
        <v>113</v>
      </c>
      <c r="BB48" s="115">
        <v>9480</v>
      </c>
      <c r="BC48" s="115">
        <v>2370</v>
      </c>
      <c r="BD48" s="115">
        <v>0</v>
      </c>
      <c r="BE48" s="115">
        <v>1.72376</v>
      </c>
      <c r="BG48" s="116">
        <v>2992.9999999999991</v>
      </c>
      <c r="BH48" s="116">
        <v>6487</v>
      </c>
      <c r="BI48" s="116">
        <v>9480</v>
      </c>
      <c r="BJ48" s="116" t="s">
        <v>118</v>
      </c>
      <c r="BK48" s="115">
        <v>89</v>
      </c>
    </row>
    <row r="49" spans="1:63" ht="12.9" x14ac:dyDescent="0.3">
      <c r="A49" s="5"/>
      <c r="C49" s="17"/>
      <c r="D49" s="79"/>
      <c r="E49" s="80"/>
      <c r="F49" s="80"/>
      <c r="G49" s="80"/>
      <c r="H49" s="80"/>
      <c r="I49" s="80"/>
      <c r="J49" s="80"/>
      <c r="K49" s="80"/>
      <c r="L49" s="80"/>
      <c r="M49" s="5"/>
    </row>
    <row r="50" spans="1:63" x14ac:dyDescent="0.3">
      <c r="A50" s="6"/>
      <c r="B50" s="14"/>
      <c r="C50" s="14" t="s">
        <v>29</v>
      </c>
      <c r="D50" s="14" t="s">
        <v>60</v>
      </c>
      <c r="E50" s="22" t="s">
        <v>6</v>
      </c>
      <c r="F50" s="22" t="s">
        <v>6</v>
      </c>
      <c r="G50" s="22" t="s">
        <v>6</v>
      </c>
      <c r="H50" s="38">
        <f>SUM(H51:H54)</f>
        <v>0</v>
      </c>
      <c r="I50" s="38">
        <f>SUM(I51:I54)</f>
        <v>0</v>
      </c>
      <c r="J50" s="38">
        <f>SUM(J51:J54)</f>
        <v>0</v>
      </c>
      <c r="K50" s="30"/>
      <c r="L50" s="38">
        <f>SUM(L51:L54)</f>
        <v>2.5000000000000001E-2</v>
      </c>
      <c r="M50" s="5"/>
      <c r="AH50" s="30"/>
      <c r="AR50" s="38">
        <f>SUM(AI51:AI54)</f>
        <v>0</v>
      </c>
      <c r="AS50" s="38">
        <f>SUM(AJ51:AJ54)</f>
        <v>0</v>
      </c>
      <c r="AT50" s="38">
        <f>SUM(AK51:AK54)</f>
        <v>0</v>
      </c>
    </row>
    <row r="51" spans="1:63" x14ac:dyDescent="0.3">
      <c r="A51" s="4" t="s">
        <v>195</v>
      </c>
      <c r="B51" s="13"/>
      <c r="C51" s="13" t="s">
        <v>30</v>
      </c>
      <c r="D51" s="13" t="s">
        <v>61</v>
      </c>
      <c r="E51" s="13" t="s">
        <v>74</v>
      </c>
      <c r="F51" s="83">
        <v>250</v>
      </c>
      <c r="G51" s="178"/>
      <c r="H51" s="83">
        <f>F51*AN51</f>
        <v>0</v>
      </c>
      <c r="I51" s="83">
        <f>F51*AO51</f>
        <v>0</v>
      </c>
      <c r="J51" s="83">
        <f>F51*G51</f>
        <v>0</v>
      </c>
      <c r="K51" s="83">
        <v>1E-4</v>
      </c>
      <c r="L51" s="97">
        <f>F51*K51</f>
        <v>2.5000000000000001E-2</v>
      </c>
      <c r="M51" s="72"/>
      <c r="Y51" s="33">
        <f>IF(AP51="5",BI51,0)</f>
        <v>0</v>
      </c>
      <c r="AA51" s="33">
        <f>IF(AP51="1",BG51,0)</f>
        <v>0</v>
      </c>
      <c r="AB51" s="33">
        <f>IF(AP51="1",BH51,0)</f>
        <v>0</v>
      </c>
      <c r="AC51" s="33">
        <f>IF(AP51="7",BG51,0)</f>
        <v>0</v>
      </c>
      <c r="AD51" s="33">
        <f>IF(AP51="7",BH51,0)</f>
        <v>0</v>
      </c>
      <c r="AE51" s="33">
        <f>IF(AP51="2",BG51,0)</f>
        <v>0</v>
      </c>
      <c r="AF51" s="33">
        <f>IF(AP51="2",BH51,0)</f>
        <v>0</v>
      </c>
      <c r="AG51" s="33">
        <f>IF(AP51="0",BI51,0)</f>
        <v>0</v>
      </c>
      <c r="AH51" s="30"/>
      <c r="AI51" s="23">
        <f>IF(AM51=0,J51,0)</f>
        <v>0</v>
      </c>
      <c r="AJ51" s="23">
        <f>IF(AM51=15,J51,0)</f>
        <v>0</v>
      </c>
      <c r="AK51" s="23">
        <f>IF(AM51=21,J51,0)</f>
        <v>0</v>
      </c>
      <c r="AM51" s="33">
        <v>21</v>
      </c>
      <c r="AN51" s="33">
        <f>G51*0.0923427957855178</f>
        <v>0</v>
      </c>
      <c r="AO51" s="33">
        <f>G51*(1-0.0923427957855178)</f>
        <v>0</v>
      </c>
      <c r="AP51" s="34" t="s">
        <v>7</v>
      </c>
      <c r="AU51" s="33">
        <f>AV51+AW51</f>
        <v>0</v>
      </c>
      <c r="AV51" s="33">
        <f>F51*AN51</f>
        <v>0</v>
      </c>
      <c r="AW51" s="33">
        <f>F51*AO51</f>
        <v>0</v>
      </c>
      <c r="AX51" s="35" t="s">
        <v>106</v>
      </c>
      <c r="AY51" s="35" t="s">
        <v>112</v>
      </c>
      <c r="AZ51" s="30" t="s">
        <v>113</v>
      </c>
      <c r="BB51" s="33">
        <f>AV51+AW51</f>
        <v>0</v>
      </c>
      <c r="BC51" s="33">
        <f>G51/(100-BD51)*100</f>
        <v>0</v>
      </c>
      <c r="BD51" s="33">
        <v>0</v>
      </c>
      <c r="BE51" s="33">
        <f>L51</f>
        <v>2.5000000000000001E-2</v>
      </c>
      <c r="BG51" s="23">
        <f>F51*AN51</f>
        <v>0</v>
      </c>
      <c r="BH51" s="23">
        <f>F51*AO51</f>
        <v>0</v>
      </c>
      <c r="BI51" s="23">
        <f>F51*G51</f>
        <v>0</v>
      </c>
      <c r="BJ51" s="23" t="s">
        <v>118</v>
      </c>
      <c r="BK51" s="33">
        <v>91</v>
      </c>
    </row>
    <row r="52" spans="1:63" ht="12.9" x14ac:dyDescent="0.3">
      <c r="A52" s="5"/>
      <c r="C52" s="17" t="s">
        <v>26</v>
      </c>
      <c r="D52" s="149" t="s">
        <v>173</v>
      </c>
      <c r="E52" s="146"/>
      <c r="F52" s="146"/>
      <c r="G52" s="146"/>
      <c r="H52" s="146"/>
      <c r="I52" s="146"/>
      <c r="J52" s="146"/>
      <c r="K52" s="146"/>
      <c r="L52" s="146"/>
      <c r="M52" s="72"/>
    </row>
    <row r="53" spans="1:63" ht="12.9" x14ac:dyDescent="0.3">
      <c r="A53" s="5"/>
      <c r="D53" s="19"/>
      <c r="F53" s="24"/>
      <c r="M53" s="5"/>
    </row>
    <row r="54" spans="1:63" ht="12.9" x14ac:dyDescent="0.3">
      <c r="A54" s="5"/>
      <c r="C54" s="16" t="s">
        <v>18</v>
      </c>
      <c r="D54" s="136" t="s">
        <v>204</v>
      </c>
      <c r="E54" s="137"/>
      <c r="F54" s="137"/>
      <c r="G54" s="137"/>
      <c r="H54" s="137"/>
      <c r="I54" s="137"/>
      <c r="J54" s="137"/>
      <c r="K54" s="137"/>
      <c r="L54" s="137"/>
      <c r="M54" s="5"/>
    </row>
    <row r="55" spans="1:63" x14ac:dyDescent="0.3">
      <c r="A55" s="6"/>
      <c r="B55" s="14"/>
      <c r="C55" s="14" t="s">
        <v>31</v>
      </c>
      <c r="D55" s="14" t="s">
        <v>62</v>
      </c>
      <c r="E55" s="22" t="s">
        <v>6</v>
      </c>
      <c r="F55" s="22" t="s">
        <v>6</v>
      </c>
      <c r="G55" s="22" t="s">
        <v>6</v>
      </c>
      <c r="H55" s="38">
        <f>SUM(H56:H56)</f>
        <v>0</v>
      </c>
      <c r="I55" s="38">
        <f>SUM(I56:I56)</f>
        <v>0</v>
      </c>
      <c r="J55" s="38">
        <f>SUM(J56:J56)</f>
        <v>0</v>
      </c>
      <c r="K55" s="30"/>
      <c r="L55" s="38">
        <f>SUM(L56:L56)</f>
        <v>0</v>
      </c>
      <c r="M55" s="5"/>
      <c r="AH55" s="30"/>
      <c r="AR55" s="38">
        <f>SUM(AI56:AI56)</f>
        <v>0</v>
      </c>
      <c r="AS55" s="38">
        <f>SUM(AJ56:AJ56)</f>
        <v>0</v>
      </c>
      <c r="AT55" s="38">
        <f>SUM(AK56:AK56)</f>
        <v>0</v>
      </c>
    </row>
    <row r="56" spans="1:63" x14ac:dyDescent="0.3">
      <c r="A56" s="73" t="s">
        <v>196</v>
      </c>
      <c r="B56" s="73"/>
      <c r="C56" s="73" t="s">
        <v>32</v>
      </c>
      <c r="D56" s="73" t="s">
        <v>63</v>
      </c>
      <c r="E56" s="73" t="s">
        <v>75</v>
      </c>
      <c r="F56" s="77">
        <v>463</v>
      </c>
      <c r="G56" s="182"/>
      <c r="H56" s="77">
        <f>F56*AN56</f>
        <v>0</v>
      </c>
      <c r="I56" s="77">
        <f>F56*AO56</f>
        <v>0</v>
      </c>
      <c r="J56" s="77">
        <f>F56*G56</f>
        <v>0</v>
      </c>
      <c r="K56" s="77">
        <v>0</v>
      </c>
      <c r="L56" s="77">
        <f>F56*K56</f>
        <v>0</v>
      </c>
      <c r="M56" s="72"/>
      <c r="Y56" s="33">
        <f>IF(AP56="5",BI56,0)</f>
        <v>0</v>
      </c>
      <c r="AA56" s="33">
        <f>IF(AP56="1",BG56,0)</f>
        <v>0</v>
      </c>
      <c r="AB56" s="33">
        <f>IF(AP56="1",BH56,0)</f>
        <v>0</v>
      </c>
      <c r="AC56" s="33">
        <f>IF(AP56="7",BG56,0)</f>
        <v>0</v>
      </c>
      <c r="AD56" s="33">
        <f>IF(AP56="7",BH56,0)</f>
        <v>0</v>
      </c>
      <c r="AE56" s="33">
        <f>IF(AP56="2",BG56,0)</f>
        <v>0</v>
      </c>
      <c r="AF56" s="33">
        <f>IF(AP56="2",BH56,0)</f>
        <v>0</v>
      </c>
      <c r="AG56" s="33">
        <f>IF(AP56="0",BI56,0)</f>
        <v>0</v>
      </c>
      <c r="AH56" s="30"/>
      <c r="AI56" s="23">
        <f>IF(AM56=0,J56,0)</f>
        <v>0</v>
      </c>
      <c r="AJ56" s="23">
        <f>IF(AM56=15,J56,0)</f>
        <v>0</v>
      </c>
      <c r="AK56" s="23">
        <f>IF(AM56=21,J56,0)</f>
        <v>0</v>
      </c>
      <c r="AM56" s="33">
        <v>21</v>
      </c>
      <c r="AN56" s="33">
        <f>G56*0</f>
        <v>0</v>
      </c>
      <c r="AO56" s="33">
        <f>G56*(1-0)</f>
        <v>0</v>
      </c>
      <c r="AP56" s="34" t="s">
        <v>11</v>
      </c>
      <c r="AU56" s="33">
        <f>AV56+AW56</f>
        <v>0</v>
      </c>
      <c r="AV56" s="33">
        <f>F56*AN56</f>
        <v>0</v>
      </c>
      <c r="AW56" s="33">
        <f>F56*AO56</f>
        <v>0</v>
      </c>
      <c r="AX56" s="35" t="s">
        <v>107</v>
      </c>
      <c r="AY56" s="35" t="s">
        <v>112</v>
      </c>
      <c r="AZ56" s="30" t="s">
        <v>113</v>
      </c>
      <c r="BB56" s="33">
        <f>AV56+AW56</f>
        <v>0</v>
      </c>
      <c r="BC56" s="33">
        <f>G56/(100-BD56)*100</f>
        <v>0</v>
      </c>
      <c r="BD56" s="33">
        <v>0</v>
      </c>
      <c r="BE56" s="33">
        <f>L56</f>
        <v>0</v>
      </c>
      <c r="BG56" s="23">
        <f>F56*AN56</f>
        <v>0</v>
      </c>
      <c r="BH56" s="23">
        <f>F56*AO56</f>
        <v>0</v>
      </c>
      <c r="BI56" s="23">
        <f>F56*G56</f>
        <v>0</v>
      </c>
      <c r="BJ56" s="23" t="s">
        <v>118</v>
      </c>
      <c r="BK56" s="33" t="s">
        <v>31</v>
      </c>
    </row>
    <row r="57" spans="1:63" ht="12.9" x14ac:dyDescent="0.3">
      <c r="A57" s="74"/>
      <c r="B57" s="75"/>
      <c r="C57" s="75"/>
      <c r="D57" s="76"/>
      <c r="E57" s="75"/>
      <c r="F57" s="78"/>
      <c r="G57" s="75"/>
      <c r="H57" s="75"/>
      <c r="I57" s="75"/>
      <c r="J57" s="75"/>
      <c r="K57" s="75"/>
      <c r="L57" s="75"/>
      <c r="M57" s="72"/>
    </row>
    <row r="58" spans="1:63" x14ac:dyDescent="0.3">
      <c r="A58" s="6"/>
      <c r="B58" s="14"/>
      <c r="C58" s="14" t="s">
        <v>33</v>
      </c>
      <c r="D58" s="14" t="s">
        <v>64</v>
      </c>
      <c r="E58" s="22" t="s">
        <v>6</v>
      </c>
      <c r="F58" s="22" t="s">
        <v>6</v>
      </c>
      <c r="G58" s="22" t="s">
        <v>6</v>
      </c>
      <c r="H58" s="38">
        <f>SUM(H59:H61)</f>
        <v>0</v>
      </c>
      <c r="I58" s="38">
        <f>SUM(I59:I61)</f>
        <v>0</v>
      </c>
      <c r="J58" s="38">
        <f>SUM(J59:J61)</f>
        <v>0</v>
      </c>
      <c r="K58" s="30"/>
      <c r="L58" s="38">
        <f>SUM(L59:L61)</f>
        <v>0</v>
      </c>
      <c r="M58" s="5"/>
      <c r="AH58" s="30"/>
      <c r="AR58" s="38">
        <f>SUM(AI59:AI61)</f>
        <v>0</v>
      </c>
      <c r="AS58" s="38">
        <f>SUM(AJ59:AJ61)</f>
        <v>0</v>
      </c>
      <c r="AT58" s="38">
        <f>SUM(AK59:AK61)</f>
        <v>0</v>
      </c>
    </row>
    <row r="59" spans="1:63" x14ac:dyDescent="0.3">
      <c r="A59" s="4" t="s">
        <v>187</v>
      </c>
      <c r="B59" s="13"/>
      <c r="C59" s="13" t="s">
        <v>34</v>
      </c>
      <c r="D59" s="13" t="s">
        <v>65</v>
      </c>
      <c r="E59" s="13" t="s">
        <v>75</v>
      </c>
      <c r="F59" s="23">
        <v>386</v>
      </c>
      <c r="G59" s="178"/>
      <c r="H59" s="23">
        <f>F59*AN59</f>
        <v>0</v>
      </c>
      <c r="I59" s="23">
        <f>F59*AO59</f>
        <v>0</v>
      </c>
      <c r="J59" s="23">
        <f>F59*G59</f>
        <v>0</v>
      </c>
      <c r="K59" s="23">
        <v>0</v>
      </c>
      <c r="L59" s="23">
        <f>F59*K59</f>
        <v>0</v>
      </c>
      <c r="M59" s="5"/>
      <c r="Y59" s="33">
        <f>IF(AP59="5",BI59,0)</f>
        <v>0</v>
      </c>
      <c r="AA59" s="33">
        <f>IF(AP59="1",BG59,0)</f>
        <v>0</v>
      </c>
      <c r="AB59" s="33">
        <f>IF(AP59="1",BH59,0)</f>
        <v>0</v>
      </c>
      <c r="AC59" s="33">
        <f>IF(AP59="7",BG59,0)</f>
        <v>0</v>
      </c>
      <c r="AD59" s="33">
        <f>IF(AP59="7",BH59,0)</f>
        <v>0</v>
      </c>
      <c r="AE59" s="33">
        <f>IF(AP59="2",BG59,0)</f>
        <v>0</v>
      </c>
      <c r="AF59" s="33">
        <f>IF(AP59="2",BH59,0)</f>
        <v>0</v>
      </c>
      <c r="AG59" s="33">
        <f>IF(AP59="0",BI59,0)</f>
        <v>0</v>
      </c>
      <c r="AH59" s="30"/>
      <c r="AI59" s="23">
        <f>IF(AM59=0,J59,0)</f>
        <v>0</v>
      </c>
      <c r="AJ59" s="23">
        <f>IF(AM59=15,J59,0)</f>
        <v>0</v>
      </c>
      <c r="AK59" s="23">
        <f>IF(AM59=21,J59,0)</f>
        <v>0</v>
      </c>
      <c r="AM59" s="33">
        <v>21</v>
      </c>
      <c r="AN59" s="33">
        <f>G59*0</f>
        <v>0</v>
      </c>
      <c r="AO59" s="33">
        <f>G59*(1-0)</f>
        <v>0</v>
      </c>
      <c r="AP59" s="34" t="s">
        <v>11</v>
      </c>
      <c r="AU59" s="33">
        <f>AV59+AW59</f>
        <v>0</v>
      </c>
      <c r="AV59" s="33">
        <f>F59*AN59</f>
        <v>0</v>
      </c>
      <c r="AW59" s="33">
        <f>F59*AO59</f>
        <v>0</v>
      </c>
      <c r="AX59" s="35" t="s">
        <v>108</v>
      </c>
      <c r="AY59" s="35" t="s">
        <v>112</v>
      </c>
      <c r="AZ59" s="30" t="s">
        <v>113</v>
      </c>
      <c r="BB59" s="33">
        <f>AV59+AW59</f>
        <v>0</v>
      </c>
      <c r="BC59" s="33">
        <f>G59/(100-BD59)*100</f>
        <v>0</v>
      </c>
      <c r="BD59" s="33">
        <v>0</v>
      </c>
      <c r="BE59" s="33">
        <f>L59</f>
        <v>0</v>
      </c>
      <c r="BG59" s="23">
        <f>F59*AN59</f>
        <v>0</v>
      </c>
      <c r="BH59" s="23">
        <f>F59*AO59</f>
        <v>0</v>
      </c>
      <c r="BI59" s="23">
        <f>F59*G59</f>
        <v>0</v>
      </c>
      <c r="BJ59" s="23" t="s">
        <v>118</v>
      </c>
      <c r="BK59" s="33" t="s">
        <v>33</v>
      </c>
    </row>
    <row r="60" spans="1:63" x14ac:dyDescent="0.3">
      <c r="A60" s="4" t="s">
        <v>205</v>
      </c>
      <c r="B60" s="13"/>
      <c r="C60" s="13" t="s">
        <v>35</v>
      </c>
      <c r="D60" s="13" t="s">
        <v>66</v>
      </c>
      <c r="E60" s="13" t="s">
        <v>75</v>
      </c>
      <c r="F60" s="23">
        <v>3860</v>
      </c>
      <c r="G60" s="178"/>
      <c r="H60" s="23">
        <f>F60*AN60</f>
        <v>0</v>
      </c>
      <c r="I60" s="23">
        <f>F60*AO60</f>
        <v>0</v>
      </c>
      <c r="J60" s="23">
        <f>F60*G60</f>
        <v>0</v>
      </c>
      <c r="K60" s="23">
        <v>0</v>
      </c>
      <c r="L60" s="23">
        <f>F60*K60</f>
        <v>0</v>
      </c>
      <c r="M60" s="5"/>
      <c r="Y60" s="33">
        <f>IF(AP60="5",BI60,0)</f>
        <v>0</v>
      </c>
      <c r="AA60" s="33">
        <f>IF(AP60="1",BG60,0)</f>
        <v>0</v>
      </c>
      <c r="AB60" s="33">
        <f>IF(AP60="1",BH60,0)</f>
        <v>0</v>
      </c>
      <c r="AC60" s="33">
        <f>IF(AP60="7",BG60,0)</f>
        <v>0</v>
      </c>
      <c r="AD60" s="33">
        <f>IF(AP60="7",BH60,0)</f>
        <v>0</v>
      </c>
      <c r="AE60" s="33">
        <f>IF(AP60="2",BG60,0)</f>
        <v>0</v>
      </c>
      <c r="AF60" s="33">
        <f>IF(AP60="2",BH60,0)</f>
        <v>0</v>
      </c>
      <c r="AG60" s="33">
        <f>IF(AP60="0",BI60,0)</f>
        <v>0</v>
      </c>
      <c r="AH60" s="30"/>
      <c r="AI60" s="23">
        <f>IF(AM60=0,J60,0)</f>
        <v>0</v>
      </c>
      <c r="AJ60" s="23">
        <f>IF(AM60=15,J60,0)</f>
        <v>0</v>
      </c>
      <c r="AK60" s="23">
        <f>IF(AM60=21,J60,0)</f>
        <v>0</v>
      </c>
      <c r="AM60" s="33">
        <v>21</v>
      </c>
      <c r="AN60" s="33">
        <f>G60*0</f>
        <v>0</v>
      </c>
      <c r="AO60" s="33">
        <f>G60*(1-0)</f>
        <v>0</v>
      </c>
      <c r="AP60" s="34" t="s">
        <v>11</v>
      </c>
      <c r="AU60" s="33">
        <f>AV60+AW60</f>
        <v>0</v>
      </c>
      <c r="AV60" s="33">
        <f>F60*AN60</f>
        <v>0</v>
      </c>
      <c r="AW60" s="33">
        <f>F60*AO60</f>
        <v>0</v>
      </c>
      <c r="AX60" s="35" t="s">
        <v>108</v>
      </c>
      <c r="AY60" s="35" t="s">
        <v>112</v>
      </c>
      <c r="AZ60" s="30" t="s">
        <v>113</v>
      </c>
      <c r="BB60" s="33">
        <f>AV60+AW60</f>
        <v>0</v>
      </c>
      <c r="BC60" s="33">
        <f>G60/(100-BD60)*100</f>
        <v>0</v>
      </c>
      <c r="BD60" s="33">
        <v>0</v>
      </c>
      <c r="BE60" s="33">
        <f>L60</f>
        <v>0</v>
      </c>
      <c r="BG60" s="23">
        <f>F60*AN60</f>
        <v>0</v>
      </c>
      <c r="BH60" s="23">
        <f>F60*AO60</f>
        <v>0</v>
      </c>
      <c r="BI60" s="23">
        <f>F60*G60</f>
        <v>0</v>
      </c>
      <c r="BJ60" s="23" t="s">
        <v>118</v>
      </c>
      <c r="BK60" s="33" t="s">
        <v>33</v>
      </c>
    </row>
    <row r="61" spans="1:63" ht="12.9" x14ac:dyDescent="0.3">
      <c r="A61" s="5"/>
      <c r="D61" s="19" t="s">
        <v>179</v>
      </c>
      <c r="F61" s="24">
        <v>386</v>
      </c>
      <c r="M61" s="5"/>
    </row>
    <row r="62" spans="1:63" x14ac:dyDescent="0.3">
      <c r="A62" s="8"/>
      <c r="B62" s="8"/>
      <c r="C62" s="8"/>
      <c r="D62" s="8"/>
      <c r="E62" s="8"/>
      <c r="F62" s="8"/>
      <c r="G62" s="8"/>
      <c r="H62" s="147" t="s">
        <v>85</v>
      </c>
      <c r="I62" s="148"/>
      <c r="J62" s="39">
        <f>ROUND(J12+J27+J30+J35+J46+J50+J55+J58,0)</f>
        <v>0</v>
      </c>
      <c r="K62" s="8"/>
      <c r="L62" s="8"/>
    </row>
    <row r="63" spans="1:63" ht="11.25" customHeight="1" x14ac:dyDescent="0.3">
      <c r="A63" s="9" t="s">
        <v>18</v>
      </c>
    </row>
    <row r="64" spans="1:63" x14ac:dyDescent="0.3">
      <c r="A64" s="131" t="s">
        <v>19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</row>
  </sheetData>
  <sheetProtection algorithmName="SHA-512" hashValue="VqNnwgbKwbAOsbQc1X6fKpOvj8awejuBHXL3kG9S2WZExz1hnA3Xts3KS+kSdljrmXXsSaKmqLOsDT8vXvPBPA==" saltValue="F02Abj0Odu/vA1PUPwfrLA==" spinCount="100000" sheet="1" objects="1" scenarios="1"/>
  <mergeCells count="42">
    <mergeCell ref="D34:L34"/>
    <mergeCell ref="D37:L37"/>
    <mergeCell ref="H62:I62"/>
    <mergeCell ref="A64:L64"/>
    <mergeCell ref="D52:L52"/>
    <mergeCell ref="D54:L54"/>
    <mergeCell ref="D22:L22"/>
    <mergeCell ref="D24:L24"/>
    <mergeCell ref="D26:L26"/>
    <mergeCell ref="D29:L29"/>
    <mergeCell ref="D32:L32"/>
    <mergeCell ref="D20:L20"/>
    <mergeCell ref="A8:C9"/>
    <mergeCell ref="D8:D9"/>
    <mergeCell ref="E8:F9"/>
    <mergeCell ref="G8:G9"/>
    <mergeCell ref="H8:H9"/>
    <mergeCell ref="I8:L9"/>
    <mergeCell ref="H10:J10"/>
    <mergeCell ref="K10:L10"/>
    <mergeCell ref="D14:L14"/>
    <mergeCell ref="D16:L16"/>
    <mergeCell ref="D18:L18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A1:L1"/>
    <mergeCell ref="A2:C3"/>
    <mergeCell ref="D2:D3"/>
    <mergeCell ref="E2:F3"/>
    <mergeCell ref="G2:G3"/>
    <mergeCell ref="H2:H3"/>
    <mergeCell ref="I2:L3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10" topLeftCell="A11" activePane="bottomLeft" state="frozenSplit"/>
      <selection pane="bottomLeft" activeCell="D21" sqref="D21"/>
    </sheetView>
  </sheetViews>
  <sheetFormatPr defaultColWidth="11.53515625" defaultRowHeight="12.45" x14ac:dyDescent="0.3"/>
  <cols>
    <col min="1" max="2" width="16.53515625" customWidth="1"/>
    <col min="3" max="3" width="68.53515625" customWidth="1"/>
    <col min="4" max="4" width="22.07421875" customWidth="1"/>
    <col min="5" max="5" width="21" customWidth="1"/>
    <col min="6" max="6" width="20.84375" customWidth="1"/>
    <col min="7" max="7" width="19.69140625" customWidth="1"/>
    <col min="8" max="9" width="0" hidden="1" customWidth="1"/>
  </cols>
  <sheetData>
    <row r="1" spans="1:9" ht="72.900000000000006" customHeight="1" x14ac:dyDescent="0.3">
      <c r="A1" s="1" t="s">
        <v>120</v>
      </c>
      <c r="B1" s="122"/>
      <c r="C1" s="122"/>
      <c r="D1" s="122"/>
      <c r="E1" s="122"/>
      <c r="F1" s="122"/>
      <c r="G1" s="122"/>
    </row>
    <row r="2" spans="1:9" x14ac:dyDescent="0.3">
      <c r="A2" s="123" t="s">
        <v>1</v>
      </c>
      <c r="B2" s="127" t="str">
        <f>'Stavební rozpočet'!D2</f>
        <v>Oprava povrchu komunikace v ul. Vrchlického</v>
      </c>
      <c r="C2" s="148"/>
      <c r="D2" s="130" t="s">
        <v>79</v>
      </c>
      <c r="E2" s="130" t="str">
        <f>'Stavební rozpočet'!I2</f>
        <v>Statutární město Jihlava</v>
      </c>
      <c r="F2" s="124"/>
      <c r="G2" s="150"/>
      <c r="H2" s="5"/>
    </row>
    <row r="3" spans="1:9" x14ac:dyDescent="0.3">
      <c r="A3" s="125"/>
      <c r="B3" s="128"/>
      <c r="C3" s="128"/>
      <c r="D3" s="126"/>
      <c r="E3" s="126"/>
      <c r="F3" s="126"/>
      <c r="G3" s="135"/>
      <c r="H3" s="5"/>
    </row>
    <row r="4" spans="1:9" x14ac:dyDescent="0.3">
      <c r="A4" s="132" t="s">
        <v>2</v>
      </c>
      <c r="B4" s="131" t="str">
        <f>'Stavební rozpočet'!D4</f>
        <v xml:space="preserve"> </v>
      </c>
      <c r="C4" s="126"/>
      <c r="D4" s="131" t="s">
        <v>80</v>
      </c>
      <c r="E4" s="131" t="str">
        <f>'Stavební rozpočet'!I4</f>
        <v> </v>
      </c>
      <c r="F4" s="126"/>
      <c r="G4" s="135"/>
      <c r="H4" s="5"/>
    </row>
    <row r="5" spans="1:9" x14ac:dyDescent="0.3">
      <c r="A5" s="125"/>
      <c r="B5" s="126"/>
      <c r="C5" s="126"/>
      <c r="D5" s="126"/>
      <c r="E5" s="126"/>
      <c r="F5" s="126"/>
      <c r="G5" s="135"/>
      <c r="H5" s="5"/>
    </row>
    <row r="6" spans="1:9" x14ac:dyDescent="0.3">
      <c r="A6" s="132" t="s">
        <v>3</v>
      </c>
      <c r="B6" s="131" t="str">
        <f>'Stavební rozpočet'!D6</f>
        <v>Jihlava</v>
      </c>
      <c r="C6" s="126"/>
      <c r="D6" s="131" t="s">
        <v>81</v>
      </c>
      <c r="E6" s="131" t="str">
        <f>'Stavební rozpočet'!I6</f>
        <v>dle výběrového řízení</v>
      </c>
      <c r="F6" s="126"/>
      <c r="G6" s="135"/>
      <c r="H6" s="5"/>
    </row>
    <row r="7" spans="1:9" x14ac:dyDescent="0.3">
      <c r="A7" s="125"/>
      <c r="B7" s="126"/>
      <c r="C7" s="126"/>
      <c r="D7" s="126"/>
      <c r="E7" s="126"/>
      <c r="F7" s="126"/>
      <c r="G7" s="135"/>
      <c r="H7" s="5"/>
    </row>
    <row r="8" spans="1:9" x14ac:dyDescent="0.3">
      <c r="A8" s="132" t="s">
        <v>82</v>
      </c>
      <c r="B8" s="131" t="str">
        <f>'Stavební rozpočet'!I8</f>
        <v>Ing. Bc. Karel Trojan</v>
      </c>
      <c r="C8" s="126"/>
      <c r="D8" s="133" t="s">
        <v>70</v>
      </c>
      <c r="E8" s="131" t="str">
        <f>'Stavební rozpočet'!G8</f>
        <v>06.03.2025</v>
      </c>
      <c r="F8" s="126"/>
      <c r="G8" s="135"/>
      <c r="H8" s="5"/>
    </row>
    <row r="9" spans="1:9" ht="12.9" thickBot="1" x14ac:dyDescent="0.35">
      <c r="A9" s="138"/>
      <c r="B9" s="139"/>
      <c r="C9" s="139"/>
      <c r="D9" s="139"/>
      <c r="E9" s="139"/>
      <c r="F9" s="139"/>
      <c r="G9" s="151"/>
      <c r="H9" s="5"/>
    </row>
    <row r="10" spans="1:9" ht="12.9" thickBot="1" x14ac:dyDescent="0.35">
      <c r="A10" s="40" t="s">
        <v>20</v>
      </c>
      <c r="B10" s="44" t="s">
        <v>21</v>
      </c>
      <c r="C10" s="47" t="s">
        <v>121</v>
      </c>
      <c r="D10" s="48" t="s">
        <v>122</v>
      </c>
      <c r="E10" s="48" t="s">
        <v>123</v>
      </c>
      <c r="F10" s="48" t="s">
        <v>124</v>
      </c>
      <c r="G10" s="49" t="s">
        <v>125</v>
      </c>
      <c r="H10" s="32"/>
    </row>
    <row r="11" spans="1:9" x14ac:dyDescent="0.3">
      <c r="A11" s="41"/>
      <c r="B11" s="45" t="s">
        <v>22</v>
      </c>
      <c r="C11" s="45" t="s">
        <v>39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126</v>
      </c>
      <c r="I11" s="33">
        <f t="shared" ref="I11:I18" si="0">IF(H11="F",0,F11)</f>
        <v>0</v>
      </c>
    </row>
    <row r="12" spans="1:9" x14ac:dyDescent="0.3">
      <c r="A12" s="42"/>
      <c r="B12" s="20" t="s">
        <v>24</v>
      </c>
      <c r="C12" s="20" t="s">
        <v>53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126</v>
      </c>
      <c r="I12" s="33">
        <f t="shared" si="0"/>
        <v>0</v>
      </c>
    </row>
    <row r="13" spans="1:9" x14ac:dyDescent="0.3">
      <c r="A13" s="42"/>
      <c r="B13" s="20" t="s">
        <v>16</v>
      </c>
      <c r="C13" s="20" t="s">
        <v>56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386.43</v>
      </c>
      <c r="H13" s="50" t="s">
        <v>126</v>
      </c>
      <c r="I13" s="33">
        <f t="shared" si="0"/>
        <v>0</v>
      </c>
    </row>
    <row r="14" spans="1:9" x14ac:dyDescent="0.3">
      <c r="A14" s="42"/>
      <c r="B14" s="20" t="s">
        <v>27</v>
      </c>
      <c r="C14" s="90" t="s">
        <v>57</v>
      </c>
      <c r="D14" s="33">
        <f>'Stavební rozpočet'!H35</f>
        <v>0</v>
      </c>
      <c r="E14" s="33">
        <f>'Stavební rozpočet'!I35</f>
        <v>0</v>
      </c>
      <c r="F14" s="33">
        <f>'Stavební rozpočet'!J35</f>
        <v>0</v>
      </c>
      <c r="G14" s="54">
        <f>'Stavební rozpočet'!L35</f>
        <v>462.17789999999997</v>
      </c>
      <c r="H14" s="50" t="s">
        <v>126</v>
      </c>
      <c r="I14" s="33">
        <f t="shared" si="0"/>
        <v>0</v>
      </c>
    </row>
    <row r="15" spans="1:9" s="81" customFormat="1" x14ac:dyDescent="0.3">
      <c r="A15" s="42"/>
      <c r="B15" s="94" t="s">
        <v>181</v>
      </c>
      <c r="C15" s="90" t="s">
        <v>182</v>
      </c>
      <c r="D15" s="33">
        <f>'Stavební rozpočet'!H46</f>
        <v>0</v>
      </c>
      <c r="E15" s="33">
        <f>'Stavební rozpočet'!I46</f>
        <v>0</v>
      </c>
      <c r="F15" s="33">
        <f>'Stavební rozpočet'!J46</f>
        <v>0</v>
      </c>
      <c r="G15" s="54">
        <f>'Stavební rozpočet'!L46</f>
        <v>0.86</v>
      </c>
      <c r="H15" s="50"/>
      <c r="I15" s="33"/>
    </row>
    <row r="16" spans="1:9" x14ac:dyDescent="0.3">
      <c r="A16" s="42"/>
      <c r="B16" s="20" t="s">
        <v>29</v>
      </c>
      <c r="C16" s="20" t="s">
        <v>60</v>
      </c>
      <c r="D16" s="33">
        <f>'Stavební rozpočet'!H50</f>
        <v>0</v>
      </c>
      <c r="E16" s="33">
        <f>'Stavební rozpočet'!I50</f>
        <v>0</v>
      </c>
      <c r="F16" s="33">
        <f>'Stavební rozpočet'!J50</f>
        <v>0</v>
      </c>
      <c r="G16" s="54">
        <f>'Stavební rozpočet'!L50</f>
        <v>2.5000000000000001E-2</v>
      </c>
      <c r="H16" s="50" t="s">
        <v>126</v>
      </c>
      <c r="I16" s="33">
        <f t="shared" si="0"/>
        <v>0</v>
      </c>
    </row>
    <row r="17" spans="1:9" x14ac:dyDescent="0.3">
      <c r="A17" s="42"/>
      <c r="B17" s="20" t="s">
        <v>31</v>
      </c>
      <c r="C17" s="20" t="s">
        <v>62</v>
      </c>
      <c r="D17" s="33">
        <f>'Stavební rozpočet'!H55</f>
        <v>0</v>
      </c>
      <c r="E17" s="33">
        <f>'Stavební rozpočet'!I55</f>
        <v>0</v>
      </c>
      <c r="F17" s="33">
        <f>'Stavební rozpočet'!J55</f>
        <v>0</v>
      </c>
      <c r="G17" s="54">
        <f>'Stavební rozpočet'!L55</f>
        <v>0</v>
      </c>
      <c r="H17" s="50" t="s">
        <v>126</v>
      </c>
      <c r="I17" s="33">
        <f t="shared" si="0"/>
        <v>0</v>
      </c>
    </row>
    <row r="18" spans="1:9" x14ac:dyDescent="0.3">
      <c r="A18" s="43"/>
      <c r="B18" s="46" t="s">
        <v>33</v>
      </c>
      <c r="C18" s="46" t="s">
        <v>64</v>
      </c>
      <c r="D18" s="52">
        <f>'Stavební rozpočet'!H58</f>
        <v>0</v>
      </c>
      <c r="E18" s="52">
        <f>'Stavební rozpočet'!I58</f>
        <v>0</v>
      </c>
      <c r="F18" s="52">
        <f>'Stavební rozpočet'!J58</f>
        <v>0</v>
      </c>
      <c r="G18" s="55">
        <f>'Stavební rozpočet'!L58</f>
        <v>0</v>
      </c>
      <c r="H18" s="50" t="s">
        <v>126</v>
      </c>
      <c r="I18" s="33">
        <f t="shared" si="0"/>
        <v>0</v>
      </c>
    </row>
    <row r="19" spans="1:9" x14ac:dyDescent="0.3">
      <c r="A19" s="84" t="s">
        <v>85</v>
      </c>
      <c r="B19" s="8"/>
      <c r="C19" s="8"/>
      <c r="D19" s="92">
        <f>SUM(D11:D18)</f>
        <v>0</v>
      </c>
      <c r="E19" s="85">
        <f>SUM(E11:E18)</f>
        <v>0</v>
      </c>
      <c r="F19" s="39">
        <f>ROUND(F11+F12+F13+F14+F15+F16+F17+F18,0)</f>
        <v>0</v>
      </c>
      <c r="G19" s="8"/>
    </row>
    <row r="20" spans="1:9" x14ac:dyDescent="0.3">
      <c r="E20" s="86"/>
    </row>
    <row r="21" spans="1:9" x14ac:dyDescent="0.3">
      <c r="D21" s="86"/>
      <c r="E21" s="86"/>
    </row>
    <row r="22" spans="1:9" x14ac:dyDescent="0.3">
      <c r="E22" s="86"/>
    </row>
    <row r="23" spans="1:9" x14ac:dyDescent="0.3">
      <c r="E23" s="86"/>
    </row>
    <row r="24" spans="1:9" x14ac:dyDescent="0.3">
      <c r="E24" s="86"/>
    </row>
    <row r="25" spans="1:9" x14ac:dyDescent="0.3">
      <c r="E25" s="86"/>
    </row>
  </sheetData>
  <sheetProtection algorithmName="SHA-512" hashValue="cSIH0WRjyO0f1cUhW/Lbtsajs1ibCNPwEcjZSUDmISA778Fo3vB1JVwbLBAEa4BKnC+TlNtc4rbUvCMMDThOsg==" saltValue="yCJMPhQmqdVvRnDyMuiK/w==" spinCount="100000" sheet="1" objects="1" scenarios="1"/>
  <mergeCells count="17">
    <mergeCell ref="A6:A7"/>
    <mergeCell ref="B6:C7"/>
    <mergeCell ref="D6:D7"/>
    <mergeCell ref="E6:G7"/>
    <mergeCell ref="A8:A9"/>
    <mergeCell ref="B8:C9"/>
    <mergeCell ref="D8:D9"/>
    <mergeCell ref="E8:G9"/>
    <mergeCell ref="A4:A5"/>
    <mergeCell ref="B4:C5"/>
    <mergeCell ref="D4:D5"/>
    <mergeCell ref="E4:G5"/>
    <mergeCell ref="A1:G1"/>
    <mergeCell ref="A2:A3"/>
    <mergeCell ref="B2:C3"/>
    <mergeCell ref="D2:D3"/>
    <mergeCell ref="E2:G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7" workbookViewId="0">
      <selection activeCell="I10" sqref="I10:I11"/>
    </sheetView>
  </sheetViews>
  <sheetFormatPr defaultColWidth="11.53515625" defaultRowHeight="12.45" x14ac:dyDescent="0.3"/>
  <cols>
    <col min="1" max="1" width="9.07421875" customWidth="1"/>
    <col min="2" max="2" width="12.84375" customWidth="1"/>
    <col min="3" max="3" width="22.84375" customWidth="1"/>
    <col min="4" max="4" width="10" customWidth="1"/>
    <col min="5" max="5" width="14" customWidth="1"/>
    <col min="6" max="6" width="22.84375" customWidth="1"/>
    <col min="7" max="7" width="9.07421875" customWidth="1"/>
    <col min="8" max="8" width="12.84375" customWidth="1"/>
    <col min="9" max="9" width="22.84375" customWidth="1"/>
  </cols>
  <sheetData>
    <row r="1" spans="1:10" ht="72.900000000000006" customHeight="1" x14ac:dyDescent="0.3">
      <c r="A1" s="69"/>
      <c r="B1" s="15"/>
      <c r="C1" s="152" t="s">
        <v>142</v>
      </c>
      <c r="D1" s="122"/>
      <c r="E1" s="122"/>
      <c r="F1" s="122"/>
      <c r="G1" s="122"/>
      <c r="H1" s="122"/>
      <c r="I1" s="122"/>
    </row>
    <row r="2" spans="1:10" x14ac:dyDescent="0.3">
      <c r="A2" s="123" t="s">
        <v>1</v>
      </c>
      <c r="B2" s="124"/>
      <c r="C2" s="127" t="str">
        <f>'Stavební rozpočet'!D2</f>
        <v>Oprava povrchu komunikace v ul. Vrchlického</v>
      </c>
      <c r="D2" s="148"/>
      <c r="E2" s="130" t="s">
        <v>79</v>
      </c>
      <c r="F2" s="130" t="str">
        <f>'Stavební rozpočet'!I2</f>
        <v>Statutární město Jihlava</v>
      </c>
      <c r="G2" s="124"/>
      <c r="H2" s="130" t="s">
        <v>167</v>
      </c>
      <c r="I2" s="153" t="s">
        <v>171</v>
      </c>
      <c r="J2" s="5"/>
    </row>
    <row r="3" spans="1:10" x14ac:dyDescent="0.3">
      <c r="A3" s="125"/>
      <c r="B3" s="126"/>
      <c r="C3" s="128"/>
      <c r="D3" s="128"/>
      <c r="E3" s="126"/>
      <c r="F3" s="126"/>
      <c r="G3" s="126"/>
      <c r="H3" s="126"/>
      <c r="I3" s="135"/>
      <c r="J3" s="5"/>
    </row>
    <row r="4" spans="1:10" x14ac:dyDescent="0.3">
      <c r="A4" s="132" t="s">
        <v>2</v>
      </c>
      <c r="B4" s="126"/>
      <c r="C4" s="131" t="str">
        <f>'Stavební rozpočet'!D4</f>
        <v xml:space="preserve"> </v>
      </c>
      <c r="D4" s="126"/>
      <c r="E4" s="131" t="s">
        <v>80</v>
      </c>
      <c r="F4" s="131" t="str">
        <f>'Stavební rozpočet'!I4</f>
        <v> </v>
      </c>
      <c r="G4" s="126"/>
      <c r="H4" s="131" t="s">
        <v>167</v>
      </c>
      <c r="I4" s="134"/>
      <c r="J4" s="5"/>
    </row>
    <row r="5" spans="1:10" x14ac:dyDescent="0.3">
      <c r="A5" s="125"/>
      <c r="B5" s="126"/>
      <c r="C5" s="126"/>
      <c r="D5" s="126"/>
      <c r="E5" s="126"/>
      <c r="F5" s="126"/>
      <c r="G5" s="126"/>
      <c r="H5" s="126"/>
      <c r="I5" s="135"/>
      <c r="J5" s="5"/>
    </row>
    <row r="6" spans="1:10" x14ac:dyDescent="0.3">
      <c r="A6" s="132" t="s">
        <v>3</v>
      </c>
      <c r="B6" s="126"/>
      <c r="C6" s="131" t="str">
        <f>'Stavební rozpočet'!D6</f>
        <v>Jihlava</v>
      </c>
      <c r="D6" s="126"/>
      <c r="E6" s="131" t="s">
        <v>81</v>
      </c>
      <c r="F6" s="131" t="str">
        <f>'Stavební rozpočet'!I6</f>
        <v>dle výběrového řízení</v>
      </c>
      <c r="G6" s="126"/>
      <c r="H6" s="131" t="s">
        <v>167</v>
      </c>
      <c r="I6" s="134"/>
      <c r="J6" s="5"/>
    </row>
    <row r="7" spans="1:10" x14ac:dyDescent="0.3">
      <c r="A7" s="125"/>
      <c r="B7" s="126"/>
      <c r="C7" s="126"/>
      <c r="D7" s="126"/>
      <c r="E7" s="126"/>
      <c r="F7" s="126"/>
      <c r="G7" s="126"/>
      <c r="H7" s="126"/>
      <c r="I7" s="135"/>
      <c r="J7" s="5"/>
    </row>
    <row r="8" spans="1:10" x14ac:dyDescent="0.3">
      <c r="A8" s="132" t="s">
        <v>68</v>
      </c>
      <c r="B8" s="126"/>
      <c r="C8" s="131" t="str">
        <f>'Stavební rozpočet'!G4</f>
        <v xml:space="preserve"> </v>
      </c>
      <c r="D8" s="126"/>
      <c r="E8" s="131" t="s">
        <v>69</v>
      </c>
      <c r="F8" s="131" t="str">
        <f>'Stavební rozpočet'!G6</f>
        <v xml:space="preserve"> </v>
      </c>
      <c r="G8" s="126"/>
      <c r="H8" s="133" t="s">
        <v>168</v>
      </c>
      <c r="I8" s="156" t="s">
        <v>205</v>
      </c>
      <c r="J8" s="5"/>
    </row>
    <row r="9" spans="1:10" x14ac:dyDescent="0.3">
      <c r="A9" s="125"/>
      <c r="B9" s="126"/>
      <c r="C9" s="126"/>
      <c r="D9" s="126"/>
      <c r="E9" s="126"/>
      <c r="F9" s="126"/>
      <c r="G9" s="126"/>
      <c r="H9" s="126"/>
      <c r="I9" s="135"/>
      <c r="J9" s="5"/>
    </row>
    <row r="10" spans="1:10" x14ac:dyDescent="0.3">
      <c r="A10" s="132" t="s">
        <v>4</v>
      </c>
      <c r="B10" s="126"/>
      <c r="C10" s="131" t="str">
        <f>'Stavební rozpočet'!D8</f>
        <v xml:space="preserve"> </v>
      </c>
      <c r="D10" s="126"/>
      <c r="E10" s="131" t="s">
        <v>82</v>
      </c>
      <c r="F10" s="131" t="str">
        <f>'Stavební rozpočet'!I8</f>
        <v>Ing. Bc. Karel Trojan</v>
      </c>
      <c r="G10" s="126"/>
      <c r="H10" s="133" t="s">
        <v>169</v>
      </c>
      <c r="I10" s="154" t="str">
        <f>'Stavební rozpočet'!G8</f>
        <v>06.03.2025</v>
      </c>
      <c r="J10" s="5"/>
    </row>
    <row r="11" spans="1:10" x14ac:dyDescent="0.3">
      <c r="A11" s="157"/>
      <c r="B11" s="158"/>
      <c r="C11" s="158"/>
      <c r="D11" s="158"/>
      <c r="E11" s="158"/>
      <c r="F11" s="158"/>
      <c r="G11" s="158"/>
      <c r="H11" s="158"/>
      <c r="I11" s="155"/>
      <c r="J11" s="5"/>
    </row>
    <row r="12" spans="1:10" ht="23.4" customHeight="1" x14ac:dyDescent="0.3">
      <c r="A12" s="159" t="s">
        <v>127</v>
      </c>
      <c r="B12" s="160"/>
      <c r="C12" s="160"/>
      <c r="D12" s="160"/>
      <c r="E12" s="160"/>
      <c r="F12" s="160"/>
      <c r="G12" s="160"/>
      <c r="H12" s="160"/>
      <c r="I12" s="160"/>
    </row>
    <row r="13" spans="1:10" ht="26.4" customHeight="1" x14ac:dyDescent="0.3">
      <c r="A13" s="56" t="s">
        <v>128</v>
      </c>
      <c r="B13" s="161" t="s">
        <v>140</v>
      </c>
      <c r="C13" s="162"/>
      <c r="D13" s="56" t="s">
        <v>143</v>
      </c>
      <c r="E13" s="161" t="s">
        <v>152</v>
      </c>
      <c r="F13" s="162"/>
      <c r="G13" s="56" t="s">
        <v>153</v>
      </c>
      <c r="H13" s="161" t="s">
        <v>170</v>
      </c>
      <c r="I13" s="162"/>
      <c r="J13" s="5"/>
    </row>
    <row r="14" spans="1:10" ht="15.15" customHeight="1" x14ac:dyDescent="0.3">
      <c r="A14" s="57" t="s">
        <v>129</v>
      </c>
      <c r="B14" s="61" t="s">
        <v>141</v>
      </c>
      <c r="C14" s="64">
        <f>'Stavební rozpočet - součet'!D19</f>
        <v>0</v>
      </c>
      <c r="D14" s="163" t="s">
        <v>144</v>
      </c>
      <c r="E14" s="164"/>
      <c r="F14" s="64">
        <v>0</v>
      </c>
      <c r="G14" s="163" t="s">
        <v>154</v>
      </c>
      <c r="H14" s="164"/>
      <c r="I14" s="64">
        <v>0</v>
      </c>
      <c r="J14" s="5"/>
    </row>
    <row r="15" spans="1:10" ht="15.15" customHeight="1" x14ac:dyDescent="0.3">
      <c r="A15" s="58"/>
      <c r="B15" s="61" t="s">
        <v>89</v>
      </c>
      <c r="C15" s="64">
        <f>'Stavební rozpočet - součet'!E11+'Stavební rozpočet - součet'!E12+'Stavební rozpočet - součet'!E13+'Stavební rozpočet - součet'!E14+'Stavební rozpočet - součet'!E15+'Stavební rozpočet - součet'!E16</f>
        <v>0</v>
      </c>
      <c r="D15" s="163" t="s">
        <v>145</v>
      </c>
      <c r="E15" s="164"/>
      <c r="F15" s="64">
        <v>0</v>
      </c>
      <c r="G15" s="163" t="s">
        <v>155</v>
      </c>
      <c r="H15" s="164"/>
      <c r="I15" s="64">
        <v>0</v>
      </c>
      <c r="J15" s="5"/>
    </row>
    <row r="16" spans="1:10" ht="15.15" customHeight="1" x14ac:dyDescent="0.3">
      <c r="A16" s="57" t="s">
        <v>130</v>
      </c>
      <c r="B16" s="61" t="s">
        <v>141</v>
      </c>
      <c r="C16" s="64">
        <f>SUM('Stavební rozpočet'!AC12:AC61)</f>
        <v>0</v>
      </c>
      <c r="D16" s="163" t="s">
        <v>146</v>
      </c>
      <c r="E16" s="164"/>
      <c r="F16" s="64">
        <v>0</v>
      </c>
      <c r="G16" s="163" t="s">
        <v>156</v>
      </c>
      <c r="H16" s="164"/>
      <c r="I16" s="64">
        <v>0</v>
      </c>
      <c r="J16" s="5"/>
    </row>
    <row r="17" spans="1:10" ht="15.15" customHeight="1" x14ac:dyDescent="0.3">
      <c r="A17" s="58"/>
      <c r="B17" s="61" t="s">
        <v>89</v>
      </c>
      <c r="C17" s="64">
        <f>SUM('Stavební rozpočet'!AD12:AD61)</f>
        <v>0</v>
      </c>
      <c r="D17" s="163"/>
      <c r="E17" s="164"/>
      <c r="F17" s="65"/>
      <c r="G17" s="163" t="s">
        <v>157</v>
      </c>
      <c r="H17" s="164"/>
      <c r="I17" s="64">
        <v>0</v>
      </c>
      <c r="J17" s="5"/>
    </row>
    <row r="18" spans="1:10" ht="15.15" customHeight="1" x14ac:dyDescent="0.3">
      <c r="A18" s="57" t="s">
        <v>131</v>
      </c>
      <c r="B18" s="61" t="s">
        <v>141</v>
      </c>
      <c r="C18" s="64">
        <f>SUM('Stavební rozpočet'!AE12:AE61)</f>
        <v>0</v>
      </c>
      <c r="D18" s="163"/>
      <c r="E18" s="164"/>
      <c r="F18" s="65"/>
      <c r="G18" s="163" t="s">
        <v>158</v>
      </c>
      <c r="H18" s="164"/>
      <c r="I18" s="64">
        <v>0</v>
      </c>
      <c r="J18" s="5"/>
    </row>
    <row r="19" spans="1:10" ht="15.15" customHeight="1" x14ac:dyDescent="0.3">
      <c r="A19" s="58"/>
      <c r="B19" s="61" t="s">
        <v>89</v>
      </c>
      <c r="C19" s="64">
        <f>SUM('Stavební rozpočet'!AF12:AF61)</f>
        <v>0</v>
      </c>
      <c r="D19" s="163"/>
      <c r="E19" s="164"/>
      <c r="F19" s="65"/>
      <c r="G19" s="163" t="s">
        <v>159</v>
      </c>
      <c r="H19" s="164"/>
      <c r="I19" s="64">
        <v>0</v>
      </c>
      <c r="J19" s="5"/>
    </row>
    <row r="20" spans="1:10" ht="15.15" customHeight="1" x14ac:dyDescent="0.3">
      <c r="A20" s="165" t="s">
        <v>132</v>
      </c>
      <c r="B20" s="166"/>
      <c r="C20" s="64">
        <f>SUM('Stavební rozpočet'!AG12:AG61)</f>
        <v>0</v>
      </c>
      <c r="D20" s="163"/>
      <c r="E20" s="164"/>
      <c r="F20" s="65"/>
      <c r="G20" s="163"/>
      <c r="H20" s="164"/>
      <c r="I20" s="65"/>
      <c r="J20" s="5"/>
    </row>
    <row r="21" spans="1:10" ht="15.15" customHeight="1" x14ac:dyDescent="0.3">
      <c r="A21" s="165" t="s">
        <v>133</v>
      </c>
      <c r="B21" s="166"/>
      <c r="C21" s="64">
        <f>'Stavební rozpočet - součet'!E17+'Stavební rozpočet - součet'!E18</f>
        <v>0</v>
      </c>
      <c r="D21" s="163"/>
      <c r="E21" s="164"/>
      <c r="F21" s="65"/>
      <c r="G21" s="163"/>
      <c r="H21" s="164"/>
      <c r="I21" s="65"/>
      <c r="J21" s="5"/>
    </row>
    <row r="22" spans="1:10" ht="16.649999999999999" customHeight="1" x14ac:dyDescent="0.3">
      <c r="A22" s="165" t="s">
        <v>134</v>
      </c>
      <c r="B22" s="166"/>
      <c r="C22" s="64">
        <f>ROUND(SUM(C14:C21),0)</f>
        <v>0</v>
      </c>
      <c r="D22" s="165" t="s">
        <v>147</v>
      </c>
      <c r="E22" s="166"/>
      <c r="F22" s="64">
        <f>SUM(F14:F21)</f>
        <v>0</v>
      </c>
      <c r="G22" s="165" t="s">
        <v>160</v>
      </c>
      <c r="H22" s="166"/>
      <c r="I22" s="64">
        <f>SUM(I14:I21)</f>
        <v>0</v>
      </c>
      <c r="J22" s="5"/>
    </row>
    <row r="23" spans="1:10" ht="15.15" customHeight="1" x14ac:dyDescent="0.3">
      <c r="A23" s="8"/>
      <c r="B23" s="8"/>
      <c r="C23" s="63"/>
      <c r="D23" s="165" t="s">
        <v>148</v>
      </c>
      <c r="E23" s="166"/>
      <c r="F23" s="66">
        <v>0</v>
      </c>
      <c r="G23" s="165" t="s">
        <v>161</v>
      </c>
      <c r="H23" s="166"/>
      <c r="I23" s="64">
        <v>0</v>
      </c>
      <c r="J23" s="5"/>
    </row>
    <row r="24" spans="1:10" ht="15.15" customHeight="1" x14ac:dyDescent="0.3">
      <c r="D24" s="8"/>
      <c r="E24" s="8"/>
      <c r="F24" s="67"/>
      <c r="G24" s="165" t="s">
        <v>162</v>
      </c>
      <c r="H24" s="166"/>
      <c r="I24" s="64">
        <v>0</v>
      </c>
      <c r="J24" s="5"/>
    </row>
    <row r="25" spans="1:10" ht="15.15" customHeight="1" x14ac:dyDescent="0.3">
      <c r="F25" s="31"/>
      <c r="G25" s="165" t="s">
        <v>163</v>
      </c>
      <c r="H25" s="166"/>
      <c r="I25" s="64">
        <v>0</v>
      </c>
      <c r="J25" s="5"/>
    </row>
    <row r="26" spans="1:10" x14ac:dyDescent="0.3">
      <c r="A26" s="15"/>
      <c r="B26" s="15"/>
      <c r="C26" s="15"/>
      <c r="G26" s="8"/>
      <c r="H26" s="8"/>
      <c r="I26" s="8"/>
    </row>
    <row r="27" spans="1:10" ht="15.15" customHeight="1" x14ac:dyDescent="0.3">
      <c r="A27" s="167" t="s">
        <v>135</v>
      </c>
      <c r="B27" s="168"/>
      <c r="C27" s="68">
        <f>ROUND(SUM('Stavební rozpočet'!AI12:AI61),0)</f>
        <v>0</v>
      </c>
      <c r="D27" s="7"/>
      <c r="E27" s="15"/>
      <c r="F27" s="15"/>
      <c r="G27" s="15"/>
      <c r="H27" s="15"/>
      <c r="I27" s="15"/>
    </row>
    <row r="28" spans="1:10" ht="15.15" customHeight="1" x14ac:dyDescent="0.3">
      <c r="A28" s="167" t="s">
        <v>136</v>
      </c>
      <c r="B28" s="168"/>
      <c r="C28" s="68">
        <f>ROUND(SUM('Stavební rozpočet'!AJ12:AJ61),0)</f>
        <v>0</v>
      </c>
      <c r="D28" s="167" t="s">
        <v>149</v>
      </c>
      <c r="E28" s="168"/>
      <c r="F28" s="68">
        <f>ROUND(C28*(15/100),2)</f>
        <v>0</v>
      </c>
      <c r="G28" s="167" t="s">
        <v>164</v>
      </c>
      <c r="H28" s="168"/>
      <c r="I28" s="68">
        <f>ROUND(SUM(C27:C29),0)</f>
        <v>0</v>
      </c>
      <c r="J28" s="5"/>
    </row>
    <row r="29" spans="1:10" ht="15.15" customHeight="1" x14ac:dyDescent="0.3">
      <c r="A29" s="167" t="s">
        <v>137</v>
      </c>
      <c r="B29" s="168"/>
      <c r="C29" s="68">
        <f>C22</f>
        <v>0</v>
      </c>
      <c r="D29" s="167" t="s">
        <v>150</v>
      </c>
      <c r="E29" s="168"/>
      <c r="F29" s="68">
        <f>ROUND(C29*(21/100),2)</f>
        <v>0</v>
      </c>
      <c r="G29" s="167" t="s">
        <v>165</v>
      </c>
      <c r="H29" s="168"/>
      <c r="I29" s="68">
        <f>ROUND(SUM(F28:F29)+I28,0)</f>
        <v>0</v>
      </c>
      <c r="J29" s="5"/>
    </row>
    <row r="30" spans="1:10" x14ac:dyDescent="0.3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3">
      <c r="A31" s="169" t="s">
        <v>138</v>
      </c>
      <c r="B31" s="170"/>
      <c r="C31" s="171"/>
      <c r="D31" s="169" t="s">
        <v>151</v>
      </c>
      <c r="E31" s="170"/>
      <c r="F31" s="171"/>
      <c r="G31" s="169" t="s">
        <v>166</v>
      </c>
      <c r="H31" s="170"/>
      <c r="I31" s="171"/>
      <c r="J31" s="32"/>
    </row>
    <row r="32" spans="1:10" ht="14.4" customHeight="1" x14ac:dyDescent="0.3">
      <c r="A32" s="172"/>
      <c r="B32" s="173"/>
      <c r="C32" s="174"/>
      <c r="D32" s="172"/>
      <c r="E32" s="173"/>
      <c r="F32" s="174"/>
      <c r="G32" s="172"/>
      <c r="H32" s="173"/>
      <c r="I32" s="174"/>
      <c r="J32" s="32"/>
    </row>
    <row r="33" spans="1:10" ht="14.4" customHeight="1" x14ac:dyDescent="0.3">
      <c r="A33" s="172"/>
      <c r="B33" s="173"/>
      <c r="C33" s="174"/>
      <c r="D33" s="172"/>
      <c r="E33" s="173"/>
      <c r="F33" s="174"/>
      <c r="G33" s="172"/>
      <c r="H33" s="173"/>
      <c r="I33" s="174"/>
      <c r="J33" s="32"/>
    </row>
    <row r="34" spans="1:10" ht="14.4" customHeight="1" x14ac:dyDescent="0.3">
      <c r="A34" s="172"/>
      <c r="B34" s="173"/>
      <c r="C34" s="174"/>
      <c r="D34" s="172"/>
      <c r="E34" s="173"/>
      <c r="F34" s="174"/>
      <c r="G34" s="172"/>
      <c r="H34" s="173"/>
      <c r="I34" s="174"/>
      <c r="J34" s="32"/>
    </row>
    <row r="35" spans="1:10" ht="14.4" customHeight="1" x14ac:dyDescent="0.3">
      <c r="A35" s="175" t="s">
        <v>139</v>
      </c>
      <c r="B35" s="176"/>
      <c r="C35" s="177"/>
      <c r="D35" s="175" t="s">
        <v>139</v>
      </c>
      <c r="E35" s="176"/>
      <c r="F35" s="177"/>
      <c r="G35" s="175" t="s">
        <v>139</v>
      </c>
      <c r="H35" s="176"/>
      <c r="I35" s="177"/>
      <c r="J35" s="32"/>
    </row>
    <row r="36" spans="1:10" ht="11.25" customHeight="1" x14ac:dyDescent="0.3">
      <c r="A36" s="60" t="s">
        <v>18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3">
      <c r="A37" s="131" t="s">
        <v>19</v>
      </c>
      <c r="B37" s="126"/>
      <c r="C37" s="126"/>
      <c r="D37" s="126"/>
      <c r="E37" s="126"/>
      <c r="F37" s="126"/>
      <c r="G37" s="126"/>
      <c r="H37" s="126"/>
      <c r="I37" s="126"/>
    </row>
  </sheetData>
  <sheetProtection algorithmName="SHA-512" hashValue="nQuRo9m8ghNNrivNcjT/P/GevHKlB+iRIbNg+7k5dRC7alUW2JweN8d9E3LKePSF4kTTcx4tDHbViE9ibfsOwg==" saltValue="49Yvo1rUmgu4dW7LxjtmaA==" spinCount="100000" sheet="1" objects="1" scenarios="1"/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2025-03-20T13:49:37Z</dcterms:modified>
</cp:coreProperties>
</file>