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4100" activeTab="2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D4" i="2" l="1"/>
  <c r="K180" i="1" l="1"/>
  <c r="K168" i="1"/>
  <c r="K171" i="1"/>
  <c r="I35" i="4" l="1"/>
  <c r="I36" i="4" s="1"/>
  <c r="I24" i="3" s="1"/>
  <c r="I26" i="4"/>
  <c r="I19" i="3" s="1"/>
  <c r="I25" i="4"/>
  <c r="I24" i="4"/>
  <c r="I17" i="3" s="1"/>
  <c r="I23" i="4"/>
  <c r="I16" i="3" s="1"/>
  <c r="I22" i="4"/>
  <c r="I21" i="4"/>
  <c r="I17" i="4"/>
  <c r="I16" i="4"/>
  <c r="F15" i="3" s="1"/>
  <c r="I15" i="4"/>
  <c r="I10" i="4"/>
  <c r="F10" i="4"/>
  <c r="C10" i="4"/>
  <c r="F8" i="4"/>
  <c r="C8" i="4"/>
  <c r="F6" i="4"/>
  <c r="C6" i="4"/>
  <c r="F4" i="4"/>
  <c r="C4" i="4"/>
  <c r="F2" i="4"/>
  <c r="C2" i="4"/>
  <c r="I18" i="3"/>
  <c r="F16" i="3"/>
  <c r="I15" i="3"/>
  <c r="I10" i="3"/>
  <c r="F10" i="3"/>
  <c r="C10" i="3"/>
  <c r="F8" i="3"/>
  <c r="C8" i="3"/>
  <c r="F6" i="3"/>
  <c r="C6" i="3"/>
  <c r="F4" i="3"/>
  <c r="C4" i="3"/>
  <c r="F2" i="3"/>
  <c r="C2" i="3"/>
  <c r="N15" i="2"/>
  <c r="N14" i="2"/>
  <c r="N13" i="2"/>
  <c r="N12" i="2"/>
  <c r="J8" i="2"/>
  <c r="H8" i="2"/>
  <c r="D8" i="2"/>
  <c r="J6" i="2"/>
  <c r="H6" i="2"/>
  <c r="D6" i="2"/>
  <c r="J4" i="2"/>
  <c r="H4" i="2"/>
  <c r="J2" i="2"/>
  <c r="H2" i="2"/>
  <c r="D2" i="2"/>
  <c r="BW278" i="1"/>
  <c r="BJ278" i="1"/>
  <c r="BF278" i="1"/>
  <c r="BD278" i="1"/>
  <c r="AP278" i="1"/>
  <c r="AX278" i="1" s="1"/>
  <c r="AO278" i="1"/>
  <c r="J278" i="1" s="1"/>
  <c r="J277" i="1" s="1"/>
  <c r="J276" i="1" s="1"/>
  <c r="I15" i="2" s="1"/>
  <c r="AK278" i="1"/>
  <c r="AJ278" i="1"/>
  <c r="AH278" i="1"/>
  <c r="AG278" i="1"/>
  <c r="AF278" i="1"/>
  <c r="AE278" i="1"/>
  <c r="AD278" i="1"/>
  <c r="Z278" i="1"/>
  <c r="O278" i="1"/>
  <c r="L278" i="1"/>
  <c r="AT277" i="1"/>
  <c r="AS277" i="1"/>
  <c r="O277" i="1"/>
  <c r="L277" i="1"/>
  <c r="L276" i="1" s="1"/>
  <c r="K15" i="2" s="1"/>
  <c r="P15" i="2" s="1"/>
  <c r="O276" i="1"/>
  <c r="L15" i="2" s="1"/>
  <c r="BW274" i="1"/>
  <c r="BJ274" i="1"/>
  <c r="BD274" i="1"/>
  <c r="AP274" i="1"/>
  <c r="BI274" i="1" s="1"/>
  <c r="AC274" i="1" s="1"/>
  <c r="AO274" i="1"/>
  <c r="AK274" i="1"/>
  <c r="AJ274" i="1"/>
  <c r="AH274" i="1"/>
  <c r="AG274" i="1"/>
  <c r="AF274" i="1"/>
  <c r="AE274" i="1"/>
  <c r="AD274" i="1"/>
  <c r="Z274" i="1"/>
  <c r="O274" i="1"/>
  <c r="BF274" i="1" s="1"/>
  <c r="L274" i="1"/>
  <c r="AL274" i="1" s="1"/>
  <c r="BW272" i="1"/>
  <c r="BJ272" i="1"/>
  <c r="BD272" i="1"/>
  <c r="AP272" i="1"/>
  <c r="AO272" i="1"/>
  <c r="BH272" i="1" s="1"/>
  <c r="AB272" i="1" s="1"/>
  <c r="AL272" i="1"/>
  <c r="AK272" i="1"/>
  <c r="AJ272" i="1"/>
  <c r="AH272" i="1"/>
  <c r="AG272" i="1"/>
  <c r="AF272" i="1"/>
  <c r="AE272" i="1"/>
  <c r="AD272" i="1"/>
  <c r="Z272" i="1"/>
  <c r="O272" i="1"/>
  <c r="BF272" i="1" s="1"/>
  <c r="L272" i="1"/>
  <c r="BW270" i="1"/>
  <c r="BJ270" i="1"/>
  <c r="BD270" i="1"/>
  <c r="AP270" i="1"/>
  <c r="AO270" i="1"/>
  <c r="AK270" i="1"/>
  <c r="AJ270" i="1"/>
  <c r="AH270" i="1"/>
  <c r="AG270" i="1"/>
  <c r="AF270" i="1"/>
  <c r="AE270" i="1"/>
  <c r="AD270" i="1"/>
  <c r="Z270" i="1"/>
  <c r="O270" i="1"/>
  <c r="BF270" i="1" s="1"/>
  <c r="L270" i="1"/>
  <c r="AL270" i="1" s="1"/>
  <c r="BW268" i="1"/>
  <c r="M268" i="1" s="1"/>
  <c r="BJ268" i="1"/>
  <c r="BF268" i="1"/>
  <c r="BD268" i="1"/>
  <c r="AP268" i="1"/>
  <c r="AO268" i="1"/>
  <c r="AL268" i="1"/>
  <c r="AK268" i="1"/>
  <c r="AJ268" i="1"/>
  <c r="AH268" i="1"/>
  <c r="AG268" i="1"/>
  <c r="AF268" i="1"/>
  <c r="AE268" i="1"/>
  <c r="AD268" i="1"/>
  <c r="Z268" i="1"/>
  <c r="O268" i="1"/>
  <c r="L268" i="1"/>
  <c r="BW266" i="1"/>
  <c r="BJ266" i="1"/>
  <c r="BH266" i="1"/>
  <c r="AB266" i="1" s="1"/>
  <c r="BD266" i="1"/>
  <c r="AP266" i="1"/>
  <c r="K266" i="1" s="1"/>
  <c r="AO266" i="1"/>
  <c r="AL266" i="1"/>
  <c r="AK266" i="1"/>
  <c r="AJ266" i="1"/>
  <c r="AH266" i="1"/>
  <c r="AG266" i="1"/>
  <c r="AF266" i="1"/>
  <c r="AE266" i="1"/>
  <c r="AD266" i="1"/>
  <c r="Z266" i="1"/>
  <c r="O266" i="1"/>
  <c r="BF266" i="1" s="1"/>
  <c r="L266" i="1"/>
  <c r="M266" i="1" s="1"/>
  <c r="BW264" i="1"/>
  <c r="BJ264" i="1"/>
  <c r="BI264" i="1"/>
  <c r="AC264" i="1" s="1"/>
  <c r="BH264" i="1"/>
  <c r="AB264" i="1" s="1"/>
  <c r="BF264" i="1"/>
  <c r="BD264" i="1"/>
  <c r="AP264" i="1"/>
  <c r="AX264" i="1" s="1"/>
  <c r="AO264" i="1"/>
  <c r="AW264" i="1" s="1"/>
  <c r="AK264" i="1"/>
  <c r="AJ264" i="1"/>
  <c r="AH264" i="1"/>
  <c r="AG264" i="1"/>
  <c r="AF264" i="1"/>
  <c r="AE264" i="1"/>
  <c r="AD264" i="1"/>
  <c r="Z264" i="1"/>
  <c r="O264" i="1"/>
  <c r="L264" i="1"/>
  <c r="M264" i="1" s="1"/>
  <c r="BW262" i="1"/>
  <c r="BJ262" i="1"/>
  <c r="BI262" i="1"/>
  <c r="AC262" i="1" s="1"/>
  <c r="BH262" i="1"/>
  <c r="AB262" i="1" s="1"/>
  <c r="BD262" i="1"/>
  <c r="AP262" i="1"/>
  <c r="K262" i="1" s="1"/>
  <c r="AO262" i="1"/>
  <c r="AW262" i="1" s="1"/>
  <c r="AK262" i="1"/>
  <c r="AJ262" i="1"/>
  <c r="AH262" i="1"/>
  <c r="AG262" i="1"/>
  <c r="AF262" i="1"/>
  <c r="AE262" i="1"/>
  <c r="AD262" i="1"/>
  <c r="Z262" i="1"/>
  <c r="O262" i="1"/>
  <c r="BF262" i="1" s="1"/>
  <c r="L262" i="1"/>
  <c r="AL262" i="1" s="1"/>
  <c r="J262" i="1"/>
  <c r="BW260" i="1"/>
  <c r="BJ260" i="1"/>
  <c r="BD260" i="1"/>
  <c r="AX260" i="1"/>
  <c r="AP260" i="1"/>
  <c r="AO260" i="1"/>
  <c r="BH260" i="1" s="1"/>
  <c r="AB260" i="1" s="1"/>
  <c r="AK260" i="1"/>
  <c r="AJ260" i="1"/>
  <c r="AH260" i="1"/>
  <c r="AG260" i="1"/>
  <c r="AF260" i="1"/>
  <c r="AE260" i="1"/>
  <c r="AD260" i="1"/>
  <c r="Z260" i="1"/>
  <c r="O260" i="1"/>
  <c r="BF260" i="1" s="1"/>
  <c r="L260" i="1"/>
  <c r="AL260" i="1" s="1"/>
  <c r="J260" i="1"/>
  <c r="BW258" i="1"/>
  <c r="BJ258" i="1"/>
  <c r="BI258" i="1"/>
  <c r="AC258" i="1" s="1"/>
  <c r="BH258" i="1"/>
  <c r="AB258" i="1" s="1"/>
  <c r="BD258" i="1"/>
  <c r="AX258" i="1"/>
  <c r="AP258" i="1"/>
  <c r="AO258" i="1"/>
  <c r="AW258" i="1" s="1"/>
  <c r="AK258" i="1"/>
  <c r="AJ258" i="1"/>
  <c r="AH258" i="1"/>
  <c r="AG258" i="1"/>
  <c r="AF258" i="1"/>
  <c r="AE258" i="1"/>
  <c r="AD258" i="1"/>
  <c r="Z258" i="1"/>
  <c r="O258" i="1"/>
  <c r="BF258" i="1" s="1"/>
  <c r="L258" i="1"/>
  <c r="K258" i="1"/>
  <c r="J258" i="1"/>
  <c r="BW256" i="1"/>
  <c r="BJ256" i="1"/>
  <c r="BD256" i="1"/>
  <c r="AP256" i="1"/>
  <c r="BI256" i="1" s="1"/>
  <c r="AC256" i="1" s="1"/>
  <c r="AO256" i="1"/>
  <c r="BH256" i="1" s="1"/>
  <c r="AB256" i="1" s="1"/>
  <c r="AK256" i="1"/>
  <c r="AJ256" i="1"/>
  <c r="AH256" i="1"/>
  <c r="AG256" i="1"/>
  <c r="AF256" i="1"/>
  <c r="AE256" i="1"/>
  <c r="AD256" i="1"/>
  <c r="Z256" i="1"/>
  <c r="O256" i="1"/>
  <c r="BF256" i="1" s="1"/>
  <c r="L256" i="1"/>
  <c r="K256" i="1"/>
  <c r="BW254" i="1"/>
  <c r="BJ254" i="1"/>
  <c r="BD254" i="1"/>
  <c r="AP254" i="1"/>
  <c r="K254" i="1" s="1"/>
  <c r="AO254" i="1"/>
  <c r="AK254" i="1"/>
  <c r="AJ254" i="1"/>
  <c r="AH254" i="1"/>
  <c r="AG254" i="1"/>
  <c r="AF254" i="1"/>
  <c r="AE254" i="1"/>
  <c r="AD254" i="1"/>
  <c r="Z254" i="1"/>
  <c r="O254" i="1"/>
  <c r="BF254" i="1" s="1"/>
  <c r="L254" i="1"/>
  <c r="BW252" i="1"/>
  <c r="BJ252" i="1"/>
  <c r="BF252" i="1"/>
  <c r="BD252" i="1"/>
  <c r="AP252" i="1"/>
  <c r="K252" i="1" s="1"/>
  <c r="AO252" i="1"/>
  <c r="BH252" i="1" s="1"/>
  <c r="AB252" i="1" s="1"/>
  <c r="AK252" i="1"/>
  <c r="AJ252" i="1"/>
  <c r="AH252" i="1"/>
  <c r="AG252" i="1"/>
  <c r="AF252" i="1"/>
  <c r="AE252" i="1"/>
  <c r="AD252" i="1"/>
  <c r="Z252" i="1"/>
  <c r="O252" i="1"/>
  <c r="L252" i="1"/>
  <c r="BW247" i="1"/>
  <c r="BJ247" i="1"/>
  <c r="AH247" i="1" s="1"/>
  <c r="BD247" i="1"/>
  <c r="AP247" i="1"/>
  <c r="AX247" i="1" s="1"/>
  <c r="AO247" i="1"/>
  <c r="AL247" i="1"/>
  <c r="AU246" i="1" s="1"/>
  <c r="AK247" i="1"/>
  <c r="AT246" i="1" s="1"/>
  <c r="AJ247" i="1"/>
  <c r="AS246" i="1" s="1"/>
  <c r="AG247" i="1"/>
  <c r="AF247" i="1"/>
  <c r="AE247" i="1"/>
  <c r="AD247" i="1"/>
  <c r="AC247" i="1"/>
  <c r="AB247" i="1"/>
  <c r="Z247" i="1"/>
  <c r="O247" i="1"/>
  <c r="O246" i="1" s="1"/>
  <c r="L247" i="1"/>
  <c r="L246" i="1"/>
  <c r="BW244" i="1"/>
  <c r="BJ244" i="1"/>
  <c r="BD244" i="1"/>
  <c r="AP244" i="1"/>
  <c r="AX244" i="1" s="1"/>
  <c r="AO244" i="1"/>
  <c r="BH244" i="1" s="1"/>
  <c r="AF244" i="1" s="1"/>
  <c r="AK244" i="1"/>
  <c r="AJ244" i="1"/>
  <c r="AH244" i="1"/>
  <c r="AE244" i="1"/>
  <c r="AD244" i="1"/>
  <c r="AC244" i="1"/>
  <c r="AB244" i="1"/>
  <c r="Z244" i="1"/>
  <c r="O244" i="1"/>
  <c r="BF244" i="1" s="1"/>
  <c r="L244" i="1"/>
  <c r="AL244" i="1" s="1"/>
  <c r="BW243" i="1"/>
  <c r="BJ243" i="1"/>
  <c r="BF243" i="1"/>
  <c r="BD243" i="1"/>
  <c r="AP243" i="1"/>
  <c r="BI243" i="1" s="1"/>
  <c r="AG243" i="1" s="1"/>
  <c r="AO243" i="1"/>
  <c r="AK243" i="1"/>
  <c r="AJ243" i="1"/>
  <c r="AH243" i="1"/>
  <c r="AE243" i="1"/>
  <c r="AD243" i="1"/>
  <c r="AC243" i="1"/>
  <c r="AB243" i="1"/>
  <c r="Z243" i="1"/>
  <c r="O243" i="1"/>
  <c r="L243" i="1"/>
  <c r="AL243" i="1" s="1"/>
  <c r="K243" i="1"/>
  <c r="BW241" i="1"/>
  <c r="BJ241" i="1"/>
  <c r="BI241" i="1"/>
  <c r="AG241" i="1" s="1"/>
  <c r="BH241" i="1"/>
  <c r="AF241" i="1" s="1"/>
  <c r="BF241" i="1"/>
  <c r="BD241" i="1"/>
  <c r="AP241" i="1"/>
  <c r="AX241" i="1" s="1"/>
  <c r="AO241" i="1"/>
  <c r="J241" i="1" s="1"/>
  <c r="AK241" i="1"/>
  <c r="AJ241" i="1"/>
  <c r="AH241" i="1"/>
  <c r="AE241" i="1"/>
  <c r="AD241" i="1"/>
  <c r="AC241" i="1"/>
  <c r="AB241" i="1"/>
  <c r="Z241" i="1"/>
  <c r="O241" i="1"/>
  <c r="L241" i="1"/>
  <c r="K241" i="1"/>
  <c r="BW240" i="1"/>
  <c r="BJ240" i="1"/>
  <c r="BF240" i="1"/>
  <c r="BD240" i="1"/>
  <c r="AP240" i="1"/>
  <c r="K240" i="1" s="1"/>
  <c r="AO240" i="1"/>
  <c r="AL240" i="1"/>
  <c r="AK240" i="1"/>
  <c r="AJ240" i="1"/>
  <c r="AH240" i="1"/>
  <c r="AE240" i="1"/>
  <c r="AD240" i="1"/>
  <c r="AC240" i="1"/>
  <c r="AB240" i="1"/>
  <c r="Z240" i="1"/>
  <c r="O240" i="1"/>
  <c r="L240" i="1"/>
  <c r="M240" i="1" s="1"/>
  <c r="BW238" i="1"/>
  <c r="BJ238" i="1"/>
  <c r="BF238" i="1"/>
  <c r="BD238" i="1"/>
  <c r="AP238" i="1"/>
  <c r="AO238" i="1"/>
  <c r="AL238" i="1"/>
  <c r="AK238" i="1"/>
  <c r="AJ238" i="1"/>
  <c r="AH238" i="1"/>
  <c r="AE238" i="1"/>
  <c r="AD238" i="1"/>
  <c r="AC238" i="1"/>
  <c r="AB238" i="1"/>
  <c r="Z238" i="1"/>
  <c r="O238" i="1"/>
  <c r="M238" i="1"/>
  <c r="L238" i="1"/>
  <c r="BW235" i="1"/>
  <c r="M235" i="1" s="1"/>
  <c r="BJ235" i="1"/>
  <c r="BI235" i="1"/>
  <c r="AG235" i="1" s="1"/>
  <c r="BD235" i="1"/>
  <c r="AP235" i="1"/>
  <c r="AO235" i="1"/>
  <c r="AL235" i="1"/>
  <c r="AK235" i="1"/>
  <c r="AJ235" i="1"/>
  <c r="AH235" i="1"/>
  <c r="AE235" i="1"/>
  <c r="AD235" i="1"/>
  <c r="AC235" i="1"/>
  <c r="AB235" i="1"/>
  <c r="Z235" i="1"/>
  <c r="O235" i="1"/>
  <c r="BF235" i="1" s="1"/>
  <c r="L235" i="1"/>
  <c r="BW233" i="1"/>
  <c r="BJ233" i="1"/>
  <c r="BH233" i="1"/>
  <c r="AF233" i="1" s="1"/>
  <c r="BF233" i="1"/>
  <c r="BD233" i="1"/>
  <c r="AP233" i="1"/>
  <c r="BI233" i="1" s="1"/>
  <c r="AG233" i="1" s="1"/>
  <c r="AO233" i="1"/>
  <c r="J233" i="1" s="1"/>
  <c r="AL233" i="1"/>
  <c r="AK233" i="1"/>
  <c r="AJ233" i="1"/>
  <c r="AH233" i="1"/>
  <c r="AE233" i="1"/>
  <c r="AD233" i="1"/>
  <c r="AC233" i="1"/>
  <c r="AB233" i="1"/>
  <c r="Z233" i="1"/>
  <c r="O233" i="1"/>
  <c r="L233" i="1"/>
  <c r="M233" i="1" s="1"/>
  <c r="BW231" i="1"/>
  <c r="BJ231" i="1"/>
  <c r="BI231" i="1"/>
  <c r="AG231" i="1" s="1"/>
  <c r="BF231" i="1"/>
  <c r="BD231" i="1"/>
  <c r="AP231" i="1"/>
  <c r="AX231" i="1" s="1"/>
  <c r="AO231" i="1"/>
  <c r="BH231" i="1" s="1"/>
  <c r="AF231" i="1" s="1"/>
  <c r="AK231" i="1"/>
  <c r="AJ231" i="1"/>
  <c r="AH231" i="1"/>
  <c r="AE231" i="1"/>
  <c r="AD231" i="1"/>
  <c r="AC231" i="1"/>
  <c r="AB231" i="1"/>
  <c r="Z231" i="1"/>
  <c r="O231" i="1"/>
  <c r="L231" i="1"/>
  <c r="K231" i="1"/>
  <c r="BW229" i="1"/>
  <c r="BJ229" i="1"/>
  <c r="BH229" i="1"/>
  <c r="AF229" i="1" s="1"/>
  <c r="BF229" i="1"/>
  <c r="BD229" i="1"/>
  <c r="AW229" i="1"/>
  <c r="AP229" i="1"/>
  <c r="AO229" i="1"/>
  <c r="J229" i="1" s="1"/>
  <c r="AK229" i="1"/>
  <c r="AJ229" i="1"/>
  <c r="AH229" i="1"/>
  <c r="AE229" i="1"/>
  <c r="AD229" i="1"/>
  <c r="AC229" i="1"/>
  <c r="AB229" i="1"/>
  <c r="Z229" i="1"/>
  <c r="O229" i="1"/>
  <c r="L229" i="1"/>
  <c r="K229" i="1"/>
  <c r="BW226" i="1"/>
  <c r="BJ226" i="1"/>
  <c r="BD226" i="1"/>
  <c r="AP226" i="1"/>
  <c r="AX226" i="1" s="1"/>
  <c r="AO226" i="1"/>
  <c r="AK226" i="1"/>
  <c r="AJ226" i="1"/>
  <c r="AH226" i="1"/>
  <c r="AE226" i="1"/>
  <c r="AD226" i="1"/>
  <c r="AC226" i="1"/>
  <c r="AB226" i="1"/>
  <c r="Z226" i="1"/>
  <c r="O226" i="1"/>
  <c r="BF226" i="1" s="1"/>
  <c r="L226" i="1"/>
  <c r="AL226" i="1" s="1"/>
  <c r="BW224" i="1"/>
  <c r="M224" i="1" s="1"/>
  <c r="BJ224" i="1"/>
  <c r="BD224" i="1"/>
  <c r="AP224" i="1"/>
  <c r="AX224" i="1" s="1"/>
  <c r="AO224" i="1"/>
  <c r="J224" i="1" s="1"/>
  <c r="AL224" i="1"/>
  <c r="AK224" i="1"/>
  <c r="AJ224" i="1"/>
  <c r="AH224" i="1"/>
  <c r="AE224" i="1"/>
  <c r="AD224" i="1"/>
  <c r="AC224" i="1"/>
  <c r="AB224" i="1"/>
  <c r="Z224" i="1"/>
  <c r="O224" i="1"/>
  <c r="BF224" i="1" s="1"/>
  <c r="L224" i="1"/>
  <c r="BW222" i="1"/>
  <c r="BJ222" i="1"/>
  <c r="BD222" i="1"/>
  <c r="AP222" i="1"/>
  <c r="AO222" i="1"/>
  <c r="AK222" i="1"/>
  <c r="AJ222" i="1"/>
  <c r="AH222" i="1"/>
  <c r="AE222" i="1"/>
  <c r="AD222" i="1"/>
  <c r="AC222" i="1"/>
  <c r="AB222" i="1"/>
  <c r="Z222" i="1"/>
  <c r="O222" i="1"/>
  <c r="BF222" i="1" s="1"/>
  <c r="L222" i="1"/>
  <c r="BW219" i="1"/>
  <c r="BJ219" i="1"/>
  <c r="BD219" i="1"/>
  <c r="AP219" i="1"/>
  <c r="AO219" i="1"/>
  <c r="AK219" i="1"/>
  <c r="AJ219" i="1"/>
  <c r="AH219" i="1"/>
  <c r="AE219" i="1"/>
  <c r="AD219" i="1"/>
  <c r="AC219" i="1"/>
  <c r="AB219" i="1"/>
  <c r="Z219" i="1"/>
  <c r="O219" i="1"/>
  <c r="BF219" i="1" s="1"/>
  <c r="L219" i="1"/>
  <c r="AL219" i="1" s="1"/>
  <c r="BW216" i="1"/>
  <c r="BJ216" i="1"/>
  <c r="BF216" i="1"/>
  <c r="BD216" i="1"/>
  <c r="AP216" i="1"/>
  <c r="BI216" i="1" s="1"/>
  <c r="AO216" i="1"/>
  <c r="AK216" i="1"/>
  <c r="AJ216" i="1"/>
  <c r="AH216" i="1"/>
  <c r="AG216" i="1"/>
  <c r="AE216" i="1"/>
  <c r="AD216" i="1"/>
  <c r="AC216" i="1"/>
  <c r="AB216" i="1"/>
  <c r="Z216" i="1"/>
  <c r="O216" i="1"/>
  <c r="L216" i="1"/>
  <c r="AL216" i="1" s="1"/>
  <c r="K216" i="1"/>
  <c r="BW214" i="1"/>
  <c r="BJ214" i="1"/>
  <c r="BD214" i="1"/>
  <c r="AP214" i="1"/>
  <c r="BI214" i="1" s="1"/>
  <c r="AG214" i="1" s="1"/>
  <c r="AO214" i="1"/>
  <c r="BH214" i="1" s="1"/>
  <c r="AF214" i="1" s="1"/>
  <c r="AK214" i="1"/>
  <c r="AJ214" i="1"/>
  <c r="AH214" i="1"/>
  <c r="AE214" i="1"/>
  <c r="AD214" i="1"/>
  <c r="AC214" i="1"/>
  <c r="AB214" i="1"/>
  <c r="Z214" i="1"/>
  <c r="O214" i="1"/>
  <c r="BF214" i="1" s="1"/>
  <c r="L214" i="1"/>
  <c r="M214" i="1" s="1"/>
  <c r="K214" i="1"/>
  <c r="J214" i="1"/>
  <c r="BW211" i="1"/>
  <c r="BJ211" i="1"/>
  <c r="BD211" i="1"/>
  <c r="AP211" i="1"/>
  <c r="BI211" i="1" s="1"/>
  <c r="AG211" i="1" s="1"/>
  <c r="AO211" i="1"/>
  <c r="AK211" i="1"/>
  <c r="AJ211" i="1"/>
  <c r="AH211" i="1"/>
  <c r="AE211" i="1"/>
  <c r="AD211" i="1"/>
  <c r="AC211" i="1"/>
  <c r="AB211" i="1"/>
  <c r="Z211" i="1"/>
  <c r="O211" i="1"/>
  <c r="BF211" i="1" s="1"/>
  <c r="L211" i="1"/>
  <c r="AL211" i="1" s="1"/>
  <c r="BW209" i="1"/>
  <c r="M209" i="1" s="1"/>
  <c r="BJ209" i="1"/>
  <c r="BH209" i="1"/>
  <c r="AF209" i="1" s="1"/>
  <c r="BD209" i="1"/>
  <c r="AW209" i="1"/>
  <c r="AP209" i="1"/>
  <c r="K209" i="1" s="1"/>
  <c r="AO209" i="1"/>
  <c r="AK209" i="1"/>
  <c r="AJ209" i="1"/>
  <c r="AH209" i="1"/>
  <c r="AE209" i="1"/>
  <c r="AD209" i="1"/>
  <c r="AC209" i="1"/>
  <c r="AB209" i="1"/>
  <c r="Z209" i="1"/>
  <c r="O209" i="1"/>
  <c r="BF209" i="1" s="1"/>
  <c r="L209" i="1"/>
  <c r="AL209" i="1" s="1"/>
  <c r="J209" i="1"/>
  <c r="BW206" i="1"/>
  <c r="BJ206" i="1"/>
  <c r="BF206" i="1"/>
  <c r="BD206" i="1"/>
  <c r="AP206" i="1"/>
  <c r="AO206" i="1"/>
  <c r="AK206" i="1"/>
  <c r="AJ206" i="1"/>
  <c r="AH206" i="1"/>
  <c r="AE206" i="1"/>
  <c r="AD206" i="1"/>
  <c r="AC206" i="1"/>
  <c r="AB206" i="1"/>
  <c r="Z206" i="1"/>
  <c r="O206" i="1"/>
  <c r="L206" i="1"/>
  <c r="BW204" i="1"/>
  <c r="BJ204" i="1"/>
  <c r="BI204" i="1"/>
  <c r="AG204" i="1" s="1"/>
  <c r="BF204" i="1"/>
  <c r="BD204" i="1"/>
  <c r="AX204" i="1"/>
  <c r="AP204" i="1"/>
  <c r="AO204" i="1"/>
  <c r="AK204" i="1"/>
  <c r="AJ204" i="1"/>
  <c r="AH204" i="1"/>
  <c r="AE204" i="1"/>
  <c r="AD204" i="1"/>
  <c r="AC204" i="1"/>
  <c r="AB204" i="1"/>
  <c r="Z204" i="1"/>
  <c r="O204" i="1"/>
  <c r="L204" i="1"/>
  <c r="AL204" i="1" s="1"/>
  <c r="K204" i="1"/>
  <c r="BW201" i="1"/>
  <c r="BJ201" i="1"/>
  <c r="BD201" i="1"/>
  <c r="AP201" i="1"/>
  <c r="AO201" i="1"/>
  <c r="BH201" i="1" s="1"/>
  <c r="AF201" i="1" s="1"/>
  <c r="AK201" i="1"/>
  <c r="AJ201" i="1"/>
  <c r="AH201" i="1"/>
  <c r="AE201" i="1"/>
  <c r="AD201" i="1"/>
  <c r="AC201" i="1"/>
  <c r="AB201" i="1"/>
  <c r="Z201" i="1"/>
  <c r="O201" i="1"/>
  <c r="BF201" i="1" s="1"/>
  <c r="L201" i="1"/>
  <c r="AL201" i="1" s="1"/>
  <c r="BW199" i="1"/>
  <c r="BJ199" i="1"/>
  <c r="BI199" i="1"/>
  <c r="AG199" i="1" s="1"/>
  <c r="BF199" i="1"/>
  <c r="BD199" i="1"/>
  <c r="AP199" i="1"/>
  <c r="AX199" i="1" s="1"/>
  <c r="AO199" i="1"/>
  <c r="BH199" i="1" s="1"/>
  <c r="AF199" i="1" s="1"/>
  <c r="AK199" i="1"/>
  <c r="AJ199" i="1"/>
  <c r="AH199" i="1"/>
  <c r="AE199" i="1"/>
  <c r="AD199" i="1"/>
  <c r="AC199" i="1"/>
  <c r="AB199" i="1"/>
  <c r="Z199" i="1"/>
  <c r="O199" i="1"/>
  <c r="L199" i="1"/>
  <c r="AL199" i="1" s="1"/>
  <c r="BW197" i="1"/>
  <c r="BJ197" i="1"/>
  <c r="BD197" i="1"/>
  <c r="AP197" i="1"/>
  <c r="AX197" i="1" s="1"/>
  <c r="AO197" i="1"/>
  <c r="AK197" i="1"/>
  <c r="AJ197" i="1"/>
  <c r="AH197" i="1"/>
  <c r="AE197" i="1"/>
  <c r="AD197" i="1"/>
  <c r="AC197" i="1"/>
  <c r="AB197" i="1"/>
  <c r="Z197" i="1"/>
  <c r="O197" i="1"/>
  <c r="BF197" i="1" s="1"/>
  <c r="L197" i="1"/>
  <c r="BW195" i="1"/>
  <c r="BJ195" i="1"/>
  <c r="BF195" i="1"/>
  <c r="BD195" i="1"/>
  <c r="AP195" i="1"/>
  <c r="AO195" i="1"/>
  <c r="AL195" i="1"/>
  <c r="AK195" i="1"/>
  <c r="AJ195" i="1"/>
  <c r="AH195" i="1"/>
  <c r="AE195" i="1"/>
  <c r="AD195" i="1"/>
  <c r="AC195" i="1"/>
  <c r="AB195" i="1"/>
  <c r="Z195" i="1"/>
  <c r="O195" i="1"/>
  <c r="L195" i="1"/>
  <c r="BW193" i="1"/>
  <c r="BJ193" i="1"/>
  <c r="BD193" i="1"/>
  <c r="AP193" i="1"/>
  <c r="AO193" i="1"/>
  <c r="BH193" i="1" s="1"/>
  <c r="AF193" i="1" s="1"/>
  <c r="AK193" i="1"/>
  <c r="AJ193" i="1"/>
  <c r="AH193" i="1"/>
  <c r="AE193" i="1"/>
  <c r="AD193" i="1"/>
  <c r="AC193" i="1"/>
  <c r="AB193" i="1"/>
  <c r="Z193" i="1"/>
  <c r="O193" i="1"/>
  <c r="BF193" i="1" s="1"/>
  <c r="L193" i="1"/>
  <c r="M193" i="1" s="1"/>
  <c r="BW190" i="1"/>
  <c r="BJ190" i="1"/>
  <c r="BD190" i="1"/>
  <c r="AP190" i="1"/>
  <c r="AO190" i="1"/>
  <c r="AL190" i="1"/>
  <c r="AK190" i="1"/>
  <c r="AJ190" i="1"/>
  <c r="AH190" i="1"/>
  <c r="AE190" i="1"/>
  <c r="AD190" i="1"/>
  <c r="AC190" i="1"/>
  <c r="AB190" i="1"/>
  <c r="Z190" i="1"/>
  <c r="O190" i="1"/>
  <c r="BF190" i="1" s="1"/>
  <c r="L190" i="1"/>
  <c r="M190" i="1" s="1"/>
  <c r="BW188" i="1"/>
  <c r="BJ188" i="1"/>
  <c r="BH188" i="1"/>
  <c r="AF188" i="1" s="1"/>
  <c r="BF188" i="1"/>
  <c r="BD188" i="1"/>
  <c r="AW188" i="1"/>
  <c r="AP188" i="1"/>
  <c r="BI188" i="1" s="1"/>
  <c r="AG188" i="1" s="1"/>
  <c r="AO188" i="1"/>
  <c r="AL188" i="1"/>
  <c r="AK188" i="1"/>
  <c r="AJ188" i="1"/>
  <c r="AH188" i="1"/>
  <c r="AE188" i="1"/>
  <c r="AD188" i="1"/>
  <c r="AC188" i="1"/>
  <c r="AB188" i="1"/>
  <c r="Z188" i="1"/>
  <c r="O188" i="1"/>
  <c r="L188" i="1"/>
  <c r="M188" i="1" s="1"/>
  <c r="J188" i="1"/>
  <c r="BW187" i="1"/>
  <c r="BJ187" i="1"/>
  <c r="BH187" i="1"/>
  <c r="AB187" i="1" s="1"/>
  <c r="BF187" i="1"/>
  <c r="BD187" i="1"/>
  <c r="AP187" i="1"/>
  <c r="AO187" i="1"/>
  <c r="AK187" i="1"/>
  <c r="AJ187" i="1"/>
  <c r="AH187" i="1"/>
  <c r="AG187" i="1"/>
  <c r="AF187" i="1"/>
  <c r="AE187" i="1"/>
  <c r="AD187" i="1"/>
  <c r="Z187" i="1"/>
  <c r="O187" i="1"/>
  <c r="L187" i="1"/>
  <c r="M187" i="1" s="1"/>
  <c r="AT186" i="1"/>
  <c r="AS186" i="1"/>
  <c r="O186" i="1"/>
  <c r="L186" i="1"/>
  <c r="BW184" i="1"/>
  <c r="BJ184" i="1"/>
  <c r="BI184" i="1"/>
  <c r="BH184" i="1"/>
  <c r="BF184" i="1"/>
  <c r="BD184" i="1"/>
  <c r="AP184" i="1"/>
  <c r="AX184" i="1" s="1"/>
  <c r="AO184" i="1"/>
  <c r="AW184" i="1" s="1"/>
  <c r="AL184" i="1"/>
  <c r="AU183" i="1" s="1"/>
  <c r="AK184" i="1"/>
  <c r="AT183" i="1" s="1"/>
  <c r="AJ184" i="1"/>
  <c r="AS183" i="1" s="1"/>
  <c r="AH184" i="1"/>
  <c r="AG184" i="1"/>
  <c r="AF184" i="1"/>
  <c r="AE184" i="1"/>
  <c r="AD184" i="1"/>
  <c r="AC184" i="1"/>
  <c r="AB184" i="1"/>
  <c r="Z184" i="1"/>
  <c r="O184" i="1"/>
  <c r="L184" i="1"/>
  <c r="O183" i="1"/>
  <c r="L183" i="1"/>
  <c r="BW180" i="1"/>
  <c r="BJ180" i="1"/>
  <c r="BF180" i="1"/>
  <c r="BD180" i="1"/>
  <c r="AP180" i="1"/>
  <c r="AX180" i="1" s="1"/>
  <c r="AO180" i="1"/>
  <c r="BH180" i="1" s="1"/>
  <c r="AF180" i="1" s="1"/>
  <c r="AL180" i="1"/>
  <c r="AK180" i="1"/>
  <c r="AJ180" i="1"/>
  <c r="AH180" i="1"/>
  <c r="AE180" i="1"/>
  <c r="AD180" i="1"/>
  <c r="AC180" i="1"/>
  <c r="AB180" i="1"/>
  <c r="Z180" i="1"/>
  <c r="O180" i="1"/>
  <c r="L180" i="1"/>
  <c r="M180" i="1" s="1"/>
  <c r="BW177" i="1"/>
  <c r="BJ177" i="1"/>
  <c r="BD177" i="1"/>
  <c r="AP177" i="1"/>
  <c r="BI177" i="1" s="1"/>
  <c r="AG177" i="1" s="1"/>
  <c r="AO177" i="1"/>
  <c r="AL177" i="1"/>
  <c r="AK177" i="1"/>
  <c r="AJ177" i="1"/>
  <c r="AH177" i="1"/>
  <c r="AE177" i="1"/>
  <c r="AD177" i="1"/>
  <c r="AC177" i="1"/>
  <c r="AB177" i="1"/>
  <c r="Z177" i="1"/>
  <c r="O177" i="1"/>
  <c r="BF177" i="1" s="1"/>
  <c r="L177" i="1"/>
  <c r="M177" i="1" s="1"/>
  <c r="BW175" i="1"/>
  <c r="BJ175" i="1"/>
  <c r="BD175" i="1"/>
  <c r="AP175" i="1"/>
  <c r="AX175" i="1" s="1"/>
  <c r="AO175" i="1"/>
  <c r="AK175" i="1"/>
  <c r="AJ175" i="1"/>
  <c r="AH175" i="1"/>
  <c r="AE175" i="1"/>
  <c r="AD175" i="1"/>
  <c r="AC175" i="1"/>
  <c r="AB175" i="1"/>
  <c r="Z175" i="1"/>
  <c r="O175" i="1"/>
  <c r="BF175" i="1" s="1"/>
  <c r="L175" i="1"/>
  <c r="AL175" i="1" s="1"/>
  <c r="BW174" i="1"/>
  <c r="BJ174" i="1"/>
  <c r="BD174" i="1"/>
  <c r="AP174" i="1"/>
  <c r="BI174" i="1" s="1"/>
  <c r="AG174" i="1" s="1"/>
  <c r="AO174" i="1"/>
  <c r="J174" i="1" s="1"/>
  <c r="AL174" i="1"/>
  <c r="AK174" i="1"/>
  <c r="AJ174" i="1"/>
  <c r="AH174" i="1"/>
  <c r="AE174" i="1"/>
  <c r="AD174" i="1"/>
  <c r="AC174" i="1"/>
  <c r="AB174" i="1"/>
  <c r="Z174" i="1"/>
  <c r="O174" i="1"/>
  <c r="BF174" i="1" s="1"/>
  <c r="L174" i="1"/>
  <c r="BW171" i="1"/>
  <c r="BJ171" i="1"/>
  <c r="BD171" i="1"/>
  <c r="AP171" i="1"/>
  <c r="BI171" i="1" s="1"/>
  <c r="AG171" i="1" s="1"/>
  <c r="AO171" i="1"/>
  <c r="AK171" i="1"/>
  <c r="AJ171" i="1"/>
  <c r="AS163" i="1" s="1"/>
  <c r="AH171" i="1"/>
  <c r="AE171" i="1"/>
  <c r="AD171" i="1"/>
  <c r="AC171" i="1"/>
  <c r="AB171" i="1"/>
  <c r="Z171" i="1"/>
  <c r="O171" i="1"/>
  <c r="BF171" i="1" s="1"/>
  <c r="L171" i="1"/>
  <c r="BW168" i="1"/>
  <c r="BJ168" i="1"/>
  <c r="BF168" i="1"/>
  <c r="BD168" i="1"/>
  <c r="AP168" i="1"/>
  <c r="BI168" i="1" s="1"/>
  <c r="AG168" i="1" s="1"/>
  <c r="AO168" i="1"/>
  <c r="BH168" i="1" s="1"/>
  <c r="AF168" i="1" s="1"/>
  <c r="AK168" i="1"/>
  <c r="AJ168" i="1"/>
  <c r="AH168" i="1"/>
  <c r="AE168" i="1"/>
  <c r="AD168" i="1"/>
  <c r="AC168" i="1"/>
  <c r="AB168" i="1"/>
  <c r="Z168" i="1"/>
  <c r="O168" i="1"/>
  <c r="L168" i="1"/>
  <c r="BW166" i="1"/>
  <c r="BJ166" i="1"/>
  <c r="BI166" i="1"/>
  <c r="AG166" i="1" s="1"/>
  <c r="BD166" i="1"/>
  <c r="AP166" i="1"/>
  <c r="AO166" i="1"/>
  <c r="BH166" i="1" s="1"/>
  <c r="AF166" i="1" s="1"/>
  <c r="AK166" i="1"/>
  <c r="AJ166" i="1"/>
  <c r="AH166" i="1"/>
  <c r="AE166" i="1"/>
  <c r="AD166" i="1"/>
  <c r="AC166" i="1"/>
  <c r="AB166" i="1"/>
  <c r="Z166" i="1"/>
  <c r="O166" i="1"/>
  <c r="BF166" i="1" s="1"/>
  <c r="L166" i="1"/>
  <c r="BW165" i="1"/>
  <c r="M165" i="1" s="1"/>
  <c r="BJ165" i="1"/>
  <c r="BI165" i="1"/>
  <c r="AG165" i="1" s="1"/>
  <c r="BD165" i="1"/>
  <c r="AP165" i="1"/>
  <c r="AO165" i="1"/>
  <c r="AK165" i="1"/>
  <c r="AJ165" i="1"/>
  <c r="AH165" i="1"/>
  <c r="AE165" i="1"/>
  <c r="AD165" i="1"/>
  <c r="AC165" i="1"/>
  <c r="AB165" i="1"/>
  <c r="Z165" i="1"/>
  <c r="O165" i="1"/>
  <c r="BF165" i="1" s="1"/>
  <c r="L165" i="1"/>
  <c r="AL165" i="1" s="1"/>
  <c r="BW164" i="1"/>
  <c r="BJ164" i="1"/>
  <c r="BD164" i="1"/>
  <c r="AW164" i="1"/>
  <c r="AP164" i="1"/>
  <c r="AO164" i="1"/>
  <c r="BH164" i="1" s="1"/>
  <c r="AF164" i="1" s="1"/>
  <c r="AK164" i="1"/>
  <c r="AJ164" i="1"/>
  <c r="AH164" i="1"/>
  <c r="AE164" i="1"/>
  <c r="AD164" i="1"/>
  <c r="AC164" i="1"/>
  <c r="AB164" i="1"/>
  <c r="Z164" i="1"/>
  <c r="O164" i="1"/>
  <c r="BF164" i="1" s="1"/>
  <c r="M164" i="1"/>
  <c r="L164" i="1"/>
  <c r="AL164" i="1" s="1"/>
  <c r="BW161" i="1"/>
  <c r="BJ161" i="1"/>
  <c r="BH161" i="1"/>
  <c r="AB161" i="1" s="1"/>
  <c r="BD161" i="1"/>
  <c r="AP161" i="1"/>
  <c r="AO161" i="1"/>
  <c r="AW161" i="1" s="1"/>
  <c r="AK161" i="1"/>
  <c r="AJ161" i="1"/>
  <c r="AH161" i="1"/>
  <c r="AG161" i="1"/>
  <c r="AF161" i="1"/>
  <c r="AE161" i="1"/>
  <c r="AD161" i="1"/>
  <c r="Z161" i="1"/>
  <c r="O161" i="1"/>
  <c r="BF161" i="1" s="1"/>
  <c r="L161" i="1"/>
  <c r="AL161" i="1" s="1"/>
  <c r="J161" i="1"/>
  <c r="BW158" i="1"/>
  <c r="BJ158" i="1"/>
  <c r="BF158" i="1"/>
  <c r="BD158" i="1"/>
  <c r="AP158" i="1"/>
  <c r="AO158" i="1"/>
  <c r="AW158" i="1" s="1"/>
  <c r="AK158" i="1"/>
  <c r="AJ158" i="1"/>
  <c r="AH158" i="1"/>
  <c r="AG158" i="1"/>
  <c r="AF158" i="1"/>
  <c r="AE158" i="1"/>
  <c r="AD158" i="1"/>
  <c r="Z158" i="1"/>
  <c r="O158" i="1"/>
  <c r="L158" i="1"/>
  <c r="AL158" i="1" s="1"/>
  <c r="O157" i="1"/>
  <c r="L157" i="1"/>
  <c r="BW153" i="1"/>
  <c r="BJ153" i="1"/>
  <c r="BF153" i="1"/>
  <c r="BD153" i="1"/>
  <c r="AP153" i="1"/>
  <c r="BI153" i="1" s="1"/>
  <c r="AO153" i="1"/>
  <c r="AW153" i="1" s="1"/>
  <c r="AL153" i="1"/>
  <c r="AK153" i="1"/>
  <c r="AJ153" i="1"/>
  <c r="AH153" i="1"/>
  <c r="AG153" i="1"/>
  <c r="AF153" i="1"/>
  <c r="AE153" i="1"/>
  <c r="AD153" i="1"/>
  <c r="AC153" i="1"/>
  <c r="AB153" i="1"/>
  <c r="Z153" i="1"/>
  <c r="O153" i="1"/>
  <c r="L153" i="1"/>
  <c r="M153" i="1" s="1"/>
  <c r="BW150" i="1"/>
  <c r="BJ150" i="1"/>
  <c r="BD150" i="1"/>
  <c r="AP150" i="1"/>
  <c r="AO150" i="1"/>
  <c r="BH150" i="1" s="1"/>
  <c r="AK150" i="1"/>
  <c r="AJ150" i="1"/>
  <c r="AH150" i="1"/>
  <c r="AG150" i="1"/>
  <c r="AF150" i="1"/>
  <c r="AE150" i="1"/>
  <c r="AD150" i="1"/>
  <c r="AC150" i="1"/>
  <c r="AB150" i="1"/>
  <c r="Z150" i="1"/>
  <c r="O150" i="1"/>
  <c r="BF150" i="1" s="1"/>
  <c r="L150" i="1"/>
  <c r="AL150" i="1" s="1"/>
  <c r="BW146" i="1"/>
  <c r="BJ146" i="1"/>
  <c r="BD146" i="1"/>
  <c r="AP146" i="1"/>
  <c r="AO146" i="1"/>
  <c r="BH146" i="1" s="1"/>
  <c r="AK146" i="1"/>
  <c r="AJ146" i="1"/>
  <c r="AH146" i="1"/>
  <c r="AG146" i="1"/>
  <c r="AF146" i="1"/>
  <c r="AE146" i="1"/>
  <c r="AD146" i="1"/>
  <c r="AC146" i="1"/>
  <c r="AB146" i="1"/>
  <c r="Z146" i="1"/>
  <c r="O146" i="1"/>
  <c r="BF146" i="1" s="1"/>
  <c r="L146" i="1"/>
  <c r="BW142" i="1"/>
  <c r="M142" i="1" s="1"/>
  <c r="BJ142" i="1"/>
  <c r="AH142" i="1" s="1"/>
  <c r="BF142" i="1"/>
  <c r="BD142" i="1"/>
  <c r="AP142" i="1"/>
  <c r="AO142" i="1"/>
  <c r="AW142" i="1" s="1"/>
  <c r="AL142" i="1"/>
  <c r="AK142" i="1"/>
  <c r="AJ142" i="1"/>
  <c r="AG142" i="1"/>
  <c r="AF142" i="1"/>
  <c r="AE142" i="1"/>
  <c r="AD142" i="1"/>
  <c r="AC142" i="1"/>
  <c r="AB142" i="1"/>
  <c r="Z142" i="1"/>
  <c r="O142" i="1"/>
  <c r="L142" i="1"/>
  <c r="BW139" i="1"/>
  <c r="BJ139" i="1"/>
  <c r="AH139" i="1" s="1"/>
  <c r="BD139" i="1"/>
  <c r="AP139" i="1"/>
  <c r="BI139" i="1" s="1"/>
  <c r="AO139" i="1"/>
  <c r="BH139" i="1" s="1"/>
  <c r="AL139" i="1"/>
  <c r="AK139" i="1"/>
  <c r="AJ139" i="1"/>
  <c r="AG139" i="1"/>
  <c r="AF139" i="1"/>
  <c r="AE139" i="1"/>
  <c r="AD139" i="1"/>
  <c r="AC139" i="1"/>
  <c r="AB139" i="1"/>
  <c r="Z139" i="1"/>
  <c r="O139" i="1"/>
  <c r="BF139" i="1" s="1"/>
  <c r="L139" i="1"/>
  <c r="M139" i="1" s="1"/>
  <c r="BW136" i="1"/>
  <c r="BJ136" i="1"/>
  <c r="AH136" i="1" s="1"/>
  <c r="BF136" i="1"/>
  <c r="BD136" i="1"/>
  <c r="AP136" i="1"/>
  <c r="AO136" i="1"/>
  <c r="AL136" i="1"/>
  <c r="AK136" i="1"/>
  <c r="AJ136" i="1"/>
  <c r="AG136" i="1"/>
  <c r="AF136" i="1"/>
  <c r="AE136" i="1"/>
  <c r="AD136" i="1"/>
  <c r="AC136" i="1"/>
  <c r="AB136" i="1"/>
  <c r="Z136" i="1"/>
  <c r="O136" i="1"/>
  <c r="L136" i="1"/>
  <c r="M136" i="1" s="1"/>
  <c r="BW132" i="1"/>
  <c r="BJ132" i="1"/>
  <c r="AH132" i="1" s="1"/>
  <c r="BD132" i="1"/>
  <c r="AP132" i="1"/>
  <c r="AO132" i="1"/>
  <c r="AW132" i="1" s="1"/>
  <c r="AK132" i="1"/>
  <c r="AJ132" i="1"/>
  <c r="AG132" i="1"/>
  <c r="AF132" i="1"/>
  <c r="AE132" i="1"/>
  <c r="AD132" i="1"/>
  <c r="AC132" i="1"/>
  <c r="AB132" i="1"/>
  <c r="Z132" i="1"/>
  <c r="O132" i="1"/>
  <c r="BF132" i="1" s="1"/>
  <c r="L132" i="1"/>
  <c r="AL132" i="1" s="1"/>
  <c r="BW128" i="1"/>
  <c r="BJ128" i="1"/>
  <c r="AH128" i="1" s="1"/>
  <c r="BD128" i="1"/>
  <c r="AP128" i="1"/>
  <c r="K128" i="1" s="1"/>
  <c r="AO128" i="1"/>
  <c r="BH128" i="1" s="1"/>
  <c r="AL128" i="1"/>
  <c r="AK128" i="1"/>
  <c r="AJ128" i="1"/>
  <c r="AG128" i="1"/>
  <c r="AF128" i="1"/>
  <c r="AE128" i="1"/>
  <c r="AD128" i="1"/>
  <c r="AC128" i="1"/>
  <c r="AB128" i="1"/>
  <c r="Z128" i="1"/>
  <c r="O128" i="1"/>
  <c r="BF128" i="1" s="1"/>
  <c r="L128" i="1"/>
  <c r="M128" i="1" s="1"/>
  <c r="BW126" i="1"/>
  <c r="BJ126" i="1"/>
  <c r="AH126" i="1" s="1"/>
  <c r="BI126" i="1"/>
  <c r="BH126" i="1"/>
  <c r="BD126" i="1"/>
  <c r="AX126" i="1"/>
  <c r="AW126" i="1"/>
  <c r="AP126" i="1"/>
  <c r="AO126" i="1"/>
  <c r="AK126" i="1"/>
  <c r="AJ126" i="1"/>
  <c r="AG126" i="1"/>
  <c r="AF126" i="1"/>
  <c r="AE126" i="1"/>
  <c r="AD126" i="1"/>
  <c r="AC126" i="1"/>
  <c r="AB126" i="1"/>
  <c r="Z126" i="1"/>
  <c r="O126" i="1"/>
  <c r="L126" i="1"/>
  <c r="K126" i="1"/>
  <c r="J126" i="1"/>
  <c r="BW124" i="1"/>
  <c r="BJ124" i="1"/>
  <c r="BD124" i="1"/>
  <c r="AP124" i="1"/>
  <c r="AO124" i="1"/>
  <c r="AK124" i="1"/>
  <c r="AJ124" i="1"/>
  <c r="AH124" i="1"/>
  <c r="AG124" i="1"/>
  <c r="AF124" i="1"/>
  <c r="AE124" i="1"/>
  <c r="AD124" i="1"/>
  <c r="AC124" i="1"/>
  <c r="AB124" i="1"/>
  <c r="Z124" i="1"/>
  <c r="O124" i="1"/>
  <c r="BF124" i="1" s="1"/>
  <c r="L124" i="1"/>
  <c r="L123" i="1"/>
  <c r="BW122" i="1"/>
  <c r="BJ122" i="1"/>
  <c r="BD122" i="1"/>
  <c r="AP122" i="1"/>
  <c r="BI122" i="1" s="1"/>
  <c r="AO122" i="1"/>
  <c r="AL122" i="1"/>
  <c r="AK122" i="1"/>
  <c r="AJ122" i="1"/>
  <c r="AH122" i="1"/>
  <c r="AG122" i="1"/>
  <c r="AF122" i="1"/>
  <c r="AE122" i="1"/>
  <c r="AD122" i="1"/>
  <c r="AC122" i="1"/>
  <c r="AB122" i="1"/>
  <c r="Z122" i="1"/>
  <c r="O122" i="1"/>
  <c r="BF122" i="1" s="1"/>
  <c r="L122" i="1"/>
  <c r="M122" i="1" s="1"/>
  <c r="BW120" i="1"/>
  <c r="BJ120" i="1"/>
  <c r="Z120" i="1" s="1"/>
  <c r="BD120" i="1"/>
  <c r="AP120" i="1"/>
  <c r="K120" i="1" s="1"/>
  <c r="AO120" i="1"/>
  <c r="AL120" i="1"/>
  <c r="AK120" i="1"/>
  <c r="AJ120" i="1"/>
  <c r="AH120" i="1"/>
  <c r="AG120" i="1"/>
  <c r="AF120" i="1"/>
  <c r="AE120" i="1"/>
  <c r="AD120" i="1"/>
  <c r="AC120" i="1"/>
  <c r="AB120" i="1"/>
  <c r="O120" i="1"/>
  <c r="BF120" i="1" s="1"/>
  <c r="L120" i="1"/>
  <c r="M120" i="1" s="1"/>
  <c r="BW119" i="1"/>
  <c r="BJ119" i="1"/>
  <c r="Z119" i="1" s="1"/>
  <c r="BI119" i="1"/>
  <c r="BH119" i="1"/>
  <c r="BD119" i="1"/>
  <c r="AP119" i="1"/>
  <c r="AX119" i="1" s="1"/>
  <c r="AO119" i="1"/>
  <c r="AW119" i="1" s="1"/>
  <c r="AK119" i="1"/>
  <c r="AJ119" i="1"/>
  <c r="AH119" i="1"/>
  <c r="AG119" i="1"/>
  <c r="AF119" i="1"/>
  <c r="AE119" i="1"/>
  <c r="AD119" i="1"/>
  <c r="AC119" i="1"/>
  <c r="AB119" i="1"/>
  <c r="O119" i="1"/>
  <c r="BF119" i="1" s="1"/>
  <c r="L119" i="1"/>
  <c r="K119" i="1"/>
  <c r="J119" i="1"/>
  <c r="BW116" i="1"/>
  <c r="BJ116" i="1"/>
  <c r="BF116" i="1"/>
  <c r="BD116" i="1"/>
  <c r="AP116" i="1"/>
  <c r="AO116" i="1"/>
  <c r="J116" i="1" s="1"/>
  <c r="AK116" i="1"/>
  <c r="AJ116" i="1"/>
  <c r="AH116" i="1"/>
  <c r="AG116" i="1"/>
  <c r="AF116" i="1"/>
  <c r="AE116" i="1"/>
  <c r="AD116" i="1"/>
  <c r="AC116" i="1"/>
  <c r="AB116" i="1"/>
  <c r="Z116" i="1"/>
  <c r="O116" i="1"/>
  <c r="L116" i="1"/>
  <c r="AL116" i="1" s="1"/>
  <c r="BW113" i="1"/>
  <c r="BJ113" i="1"/>
  <c r="BI113" i="1"/>
  <c r="BD113" i="1"/>
  <c r="AP113" i="1"/>
  <c r="AX113" i="1" s="1"/>
  <c r="AO113" i="1"/>
  <c r="AK113" i="1"/>
  <c r="AJ113" i="1"/>
  <c r="AH113" i="1"/>
  <c r="AG113" i="1"/>
  <c r="AF113" i="1"/>
  <c r="AE113" i="1"/>
  <c r="AD113" i="1"/>
  <c r="AC113" i="1"/>
  <c r="AB113" i="1"/>
  <c r="Z113" i="1"/>
  <c r="O113" i="1"/>
  <c r="L113" i="1"/>
  <c r="AL113" i="1" s="1"/>
  <c r="K113" i="1"/>
  <c r="BW111" i="1"/>
  <c r="BJ111" i="1"/>
  <c r="Z111" i="1" s="1"/>
  <c r="BF111" i="1"/>
  <c r="BD111" i="1"/>
  <c r="AP111" i="1"/>
  <c r="AO111" i="1"/>
  <c r="AK111" i="1"/>
  <c r="AT110" i="1" s="1"/>
  <c r="AJ111" i="1"/>
  <c r="AS110" i="1" s="1"/>
  <c r="AH111" i="1"/>
  <c r="AG111" i="1"/>
  <c r="AF111" i="1"/>
  <c r="AE111" i="1"/>
  <c r="AD111" i="1"/>
  <c r="AC111" i="1"/>
  <c r="AB111" i="1"/>
  <c r="O111" i="1"/>
  <c r="L111" i="1"/>
  <c r="M111" i="1" s="1"/>
  <c r="BW108" i="1"/>
  <c r="BJ108" i="1"/>
  <c r="Z108" i="1" s="1"/>
  <c r="BF108" i="1"/>
  <c r="BD108" i="1"/>
  <c r="AP108" i="1"/>
  <c r="BI108" i="1" s="1"/>
  <c r="AO108" i="1"/>
  <c r="J108" i="1" s="1"/>
  <c r="J107" i="1" s="1"/>
  <c r="AK108" i="1"/>
  <c r="AT107" i="1" s="1"/>
  <c r="AJ108" i="1"/>
  <c r="AS107" i="1" s="1"/>
  <c r="AH108" i="1"/>
  <c r="AG108" i="1"/>
  <c r="AF108" i="1"/>
  <c r="AE108" i="1"/>
  <c r="AD108" i="1"/>
  <c r="AC108" i="1"/>
  <c r="AB108" i="1"/>
  <c r="O108" i="1"/>
  <c r="L108" i="1"/>
  <c r="O107" i="1"/>
  <c r="BW105" i="1"/>
  <c r="BJ105" i="1"/>
  <c r="BF105" i="1"/>
  <c r="BD105" i="1"/>
  <c r="AP105" i="1"/>
  <c r="AO105" i="1"/>
  <c r="AK105" i="1"/>
  <c r="AJ105" i="1"/>
  <c r="AH105" i="1"/>
  <c r="AG105" i="1"/>
  <c r="AF105" i="1"/>
  <c r="AE105" i="1"/>
  <c r="AD105" i="1"/>
  <c r="Z105" i="1"/>
  <c r="O105" i="1"/>
  <c r="L105" i="1"/>
  <c r="BW103" i="1"/>
  <c r="BJ103" i="1"/>
  <c r="BF103" i="1"/>
  <c r="BD103" i="1"/>
  <c r="AP103" i="1"/>
  <c r="AO103" i="1"/>
  <c r="AK103" i="1"/>
  <c r="AJ103" i="1"/>
  <c r="AH103" i="1"/>
  <c r="AG103" i="1"/>
  <c r="AF103" i="1"/>
  <c r="AE103" i="1"/>
  <c r="AD103" i="1"/>
  <c r="Z103" i="1"/>
  <c r="O103" i="1"/>
  <c r="L103" i="1"/>
  <c r="BW102" i="1"/>
  <c r="BJ102" i="1"/>
  <c r="BD102" i="1"/>
  <c r="AP102" i="1"/>
  <c r="AO102" i="1"/>
  <c r="AL102" i="1"/>
  <c r="AK102" i="1"/>
  <c r="AJ102" i="1"/>
  <c r="AH102" i="1"/>
  <c r="AG102" i="1"/>
  <c r="AF102" i="1"/>
  <c r="AE102" i="1"/>
  <c r="AD102" i="1"/>
  <c r="Z102" i="1"/>
  <c r="O102" i="1"/>
  <c r="BF102" i="1" s="1"/>
  <c r="L102" i="1"/>
  <c r="M102" i="1" s="1"/>
  <c r="BW98" i="1"/>
  <c r="BJ98" i="1"/>
  <c r="BF98" i="1"/>
  <c r="BD98" i="1"/>
  <c r="AP98" i="1"/>
  <c r="BI98" i="1" s="1"/>
  <c r="AC98" i="1" s="1"/>
  <c r="AO98" i="1"/>
  <c r="BH98" i="1" s="1"/>
  <c r="AB98" i="1" s="1"/>
  <c r="AK98" i="1"/>
  <c r="AJ98" i="1"/>
  <c r="AH98" i="1"/>
  <c r="AG98" i="1"/>
  <c r="AF98" i="1"/>
  <c r="AE98" i="1"/>
  <c r="AD98" i="1"/>
  <c r="Z98" i="1"/>
  <c r="O98" i="1"/>
  <c r="L98" i="1"/>
  <c r="BW96" i="1"/>
  <c r="BJ96" i="1"/>
  <c r="BD96" i="1"/>
  <c r="AP96" i="1"/>
  <c r="AO96" i="1"/>
  <c r="AK96" i="1"/>
  <c r="AJ96" i="1"/>
  <c r="AH96" i="1"/>
  <c r="AG96" i="1"/>
  <c r="AF96" i="1"/>
  <c r="AE96" i="1"/>
  <c r="AD96" i="1"/>
  <c r="Z96" i="1"/>
  <c r="O96" i="1"/>
  <c r="BF96" i="1" s="1"/>
  <c r="L96" i="1"/>
  <c r="AL96" i="1" s="1"/>
  <c r="O95" i="1"/>
  <c r="L95" i="1"/>
  <c r="BW94" i="1"/>
  <c r="BJ94" i="1"/>
  <c r="BH94" i="1"/>
  <c r="AB94" i="1" s="1"/>
  <c r="BF94" i="1"/>
  <c r="BD94" i="1"/>
  <c r="AP94" i="1"/>
  <c r="BI94" i="1" s="1"/>
  <c r="AC94" i="1" s="1"/>
  <c r="AO94" i="1"/>
  <c r="J94" i="1" s="1"/>
  <c r="AL94" i="1"/>
  <c r="AK94" i="1"/>
  <c r="AJ94" i="1"/>
  <c r="AH94" i="1"/>
  <c r="AG94" i="1"/>
  <c r="AF94" i="1"/>
  <c r="AE94" i="1"/>
  <c r="AD94" i="1"/>
  <c r="Z94" i="1"/>
  <c r="O94" i="1"/>
  <c r="M94" i="1"/>
  <c r="M92" i="1" s="1"/>
  <c r="L94" i="1"/>
  <c r="BW93" i="1"/>
  <c r="BJ93" i="1"/>
  <c r="BD93" i="1"/>
  <c r="AP93" i="1"/>
  <c r="AO93" i="1"/>
  <c r="AL93" i="1"/>
  <c r="AU92" i="1" s="1"/>
  <c r="AK93" i="1"/>
  <c r="AT92" i="1" s="1"/>
  <c r="AJ93" i="1"/>
  <c r="AS92" i="1" s="1"/>
  <c r="AH93" i="1"/>
  <c r="AG93" i="1"/>
  <c r="AF93" i="1"/>
  <c r="AE93" i="1"/>
  <c r="AD93" i="1"/>
  <c r="Z93" i="1"/>
  <c r="O93" i="1"/>
  <c r="BF93" i="1" s="1"/>
  <c r="L93" i="1"/>
  <c r="M93" i="1" s="1"/>
  <c r="O92" i="1"/>
  <c r="L92" i="1"/>
  <c r="BW90" i="1"/>
  <c r="M90" i="1" s="1"/>
  <c r="BJ90" i="1"/>
  <c r="BD90" i="1"/>
  <c r="AP90" i="1"/>
  <c r="K90" i="1" s="1"/>
  <c r="AO90" i="1"/>
  <c r="BH90" i="1" s="1"/>
  <c r="AB90" i="1" s="1"/>
  <c r="AL90" i="1"/>
  <c r="AK90" i="1"/>
  <c r="AJ90" i="1"/>
  <c r="AH90" i="1"/>
  <c r="AG90" i="1"/>
  <c r="AF90" i="1"/>
  <c r="AE90" i="1"/>
  <c r="AD90" i="1"/>
  <c r="Z90" i="1"/>
  <c r="O90" i="1"/>
  <c r="BF90" i="1" s="1"/>
  <c r="L90" i="1"/>
  <c r="BW89" i="1"/>
  <c r="BJ89" i="1"/>
  <c r="BF89" i="1"/>
  <c r="BD89" i="1"/>
  <c r="AP89" i="1"/>
  <c r="BI89" i="1" s="1"/>
  <c r="AC89" i="1" s="1"/>
  <c r="AO89" i="1"/>
  <c r="AK89" i="1"/>
  <c r="AJ89" i="1"/>
  <c r="AH89" i="1"/>
  <c r="AG89" i="1"/>
  <c r="AF89" i="1"/>
  <c r="AE89" i="1"/>
  <c r="AD89" i="1"/>
  <c r="Z89" i="1"/>
  <c r="O89" i="1"/>
  <c r="L89" i="1"/>
  <c r="AL89" i="1" s="1"/>
  <c r="BW87" i="1"/>
  <c r="M87" i="1" s="1"/>
  <c r="BJ87" i="1"/>
  <c r="BF87" i="1"/>
  <c r="BD87" i="1"/>
  <c r="AP87" i="1"/>
  <c r="AO87" i="1"/>
  <c r="AW87" i="1" s="1"/>
  <c r="AL87" i="1"/>
  <c r="AK87" i="1"/>
  <c r="AJ87" i="1"/>
  <c r="AH87" i="1"/>
  <c r="AG87" i="1"/>
  <c r="AF87" i="1"/>
  <c r="AE87" i="1"/>
  <c r="AD87" i="1"/>
  <c r="Z87" i="1"/>
  <c r="O87" i="1"/>
  <c r="L87" i="1"/>
  <c r="BW86" i="1"/>
  <c r="BJ86" i="1"/>
  <c r="BF86" i="1"/>
  <c r="BD86" i="1"/>
  <c r="AP86" i="1"/>
  <c r="BI86" i="1" s="1"/>
  <c r="AC86" i="1" s="1"/>
  <c r="AO86" i="1"/>
  <c r="AK86" i="1"/>
  <c r="AJ86" i="1"/>
  <c r="AH86" i="1"/>
  <c r="AG86" i="1"/>
  <c r="AF86" i="1"/>
  <c r="AE86" i="1"/>
  <c r="AD86" i="1"/>
  <c r="Z86" i="1"/>
  <c r="O86" i="1"/>
  <c r="L86" i="1"/>
  <c r="AL86" i="1" s="1"/>
  <c r="BW85" i="1"/>
  <c r="BJ85" i="1"/>
  <c r="BI85" i="1"/>
  <c r="AC85" i="1" s="1"/>
  <c r="BH85" i="1"/>
  <c r="AB85" i="1" s="1"/>
  <c r="BF85" i="1"/>
  <c r="BD85" i="1"/>
  <c r="AP85" i="1"/>
  <c r="AX85" i="1" s="1"/>
  <c r="AO85" i="1"/>
  <c r="AW85" i="1" s="1"/>
  <c r="AK85" i="1"/>
  <c r="AJ85" i="1"/>
  <c r="AH85" i="1"/>
  <c r="AG85" i="1"/>
  <c r="AF85" i="1"/>
  <c r="AE85" i="1"/>
  <c r="AD85" i="1"/>
  <c r="Z85" i="1"/>
  <c r="O85" i="1"/>
  <c r="L85" i="1"/>
  <c r="K85" i="1"/>
  <c r="BW83" i="1"/>
  <c r="M83" i="1" s="1"/>
  <c r="BJ83" i="1"/>
  <c r="BD83" i="1"/>
  <c r="AX83" i="1"/>
  <c r="AP83" i="1"/>
  <c r="K83" i="1" s="1"/>
  <c r="AO83" i="1"/>
  <c r="AW83" i="1" s="1"/>
  <c r="AK83" i="1"/>
  <c r="AJ83" i="1"/>
  <c r="AH83" i="1"/>
  <c r="AG83" i="1"/>
  <c r="AF83" i="1"/>
  <c r="AE83" i="1"/>
  <c r="AD83" i="1"/>
  <c r="Z83" i="1"/>
  <c r="O83" i="1"/>
  <c r="BF83" i="1" s="1"/>
  <c r="L83" i="1"/>
  <c r="AL83" i="1" s="1"/>
  <c r="BW80" i="1"/>
  <c r="BJ80" i="1"/>
  <c r="BD80" i="1"/>
  <c r="AX80" i="1"/>
  <c r="AP80" i="1"/>
  <c r="BI80" i="1" s="1"/>
  <c r="AC80" i="1" s="1"/>
  <c r="AO80" i="1"/>
  <c r="BH80" i="1" s="1"/>
  <c r="AB80" i="1" s="1"/>
  <c r="AK80" i="1"/>
  <c r="AJ80" i="1"/>
  <c r="AH80" i="1"/>
  <c r="AG80" i="1"/>
  <c r="AF80" i="1"/>
  <c r="AE80" i="1"/>
  <c r="AD80" i="1"/>
  <c r="Z80" i="1"/>
  <c r="O80" i="1"/>
  <c r="L80" i="1"/>
  <c r="AL80" i="1" s="1"/>
  <c r="BW77" i="1"/>
  <c r="BJ77" i="1"/>
  <c r="BD77" i="1"/>
  <c r="AP77" i="1"/>
  <c r="BI77" i="1" s="1"/>
  <c r="AC77" i="1" s="1"/>
  <c r="AO77" i="1"/>
  <c r="BH77" i="1" s="1"/>
  <c r="AB77" i="1" s="1"/>
  <c r="AK77" i="1"/>
  <c r="AJ77" i="1"/>
  <c r="AH77" i="1"/>
  <c r="AG77" i="1"/>
  <c r="AF77" i="1"/>
  <c r="AE77" i="1"/>
  <c r="AD77" i="1"/>
  <c r="Z77" i="1"/>
  <c r="O77" i="1"/>
  <c r="L77" i="1"/>
  <c r="M77" i="1" s="1"/>
  <c r="K77" i="1"/>
  <c r="BW76" i="1"/>
  <c r="BJ76" i="1"/>
  <c r="BF76" i="1"/>
  <c r="BD76" i="1"/>
  <c r="AP76" i="1"/>
  <c r="AO76" i="1"/>
  <c r="AK76" i="1"/>
  <c r="AT75" i="1" s="1"/>
  <c r="AJ76" i="1"/>
  <c r="AS75" i="1" s="1"/>
  <c r="AH76" i="1"/>
  <c r="AG76" i="1"/>
  <c r="AF76" i="1"/>
  <c r="AE76" i="1"/>
  <c r="AD76" i="1"/>
  <c r="Z76" i="1"/>
  <c r="O76" i="1"/>
  <c r="L76" i="1"/>
  <c r="BW73" i="1"/>
  <c r="BJ73" i="1"/>
  <c r="BD73" i="1"/>
  <c r="AP73" i="1"/>
  <c r="AX73" i="1" s="1"/>
  <c r="AO73" i="1"/>
  <c r="BH73" i="1" s="1"/>
  <c r="AB73" i="1" s="1"/>
  <c r="AK73" i="1"/>
  <c r="AT59" i="1" s="1"/>
  <c r="AJ73" i="1"/>
  <c r="AH73" i="1"/>
  <c r="AG73" i="1"/>
  <c r="AF73" i="1"/>
  <c r="AE73" i="1"/>
  <c r="AD73" i="1"/>
  <c r="Z73" i="1"/>
  <c r="O73" i="1"/>
  <c r="BF73" i="1" s="1"/>
  <c r="L73" i="1"/>
  <c r="BW70" i="1"/>
  <c r="BJ70" i="1"/>
  <c r="BF70" i="1"/>
  <c r="BD70" i="1"/>
  <c r="AW70" i="1"/>
  <c r="AP70" i="1"/>
  <c r="BI70" i="1" s="1"/>
  <c r="AC70" i="1" s="1"/>
  <c r="AO70" i="1"/>
  <c r="BH70" i="1" s="1"/>
  <c r="AB70" i="1" s="1"/>
  <c r="AK70" i="1"/>
  <c r="AJ70" i="1"/>
  <c r="AH70" i="1"/>
  <c r="AG70" i="1"/>
  <c r="AF70" i="1"/>
  <c r="AE70" i="1"/>
  <c r="AD70" i="1"/>
  <c r="Z70" i="1"/>
  <c r="O70" i="1"/>
  <c r="L70" i="1"/>
  <c r="J70" i="1"/>
  <c r="BW67" i="1"/>
  <c r="BJ67" i="1"/>
  <c r="BI67" i="1"/>
  <c r="AC67" i="1" s="1"/>
  <c r="BH67" i="1"/>
  <c r="AB67" i="1" s="1"/>
  <c r="BD67" i="1"/>
  <c r="AP67" i="1"/>
  <c r="K67" i="1" s="1"/>
  <c r="AO67" i="1"/>
  <c r="AK67" i="1"/>
  <c r="AJ67" i="1"/>
  <c r="AH67" i="1"/>
  <c r="AG67" i="1"/>
  <c r="AF67" i="1"/>
  <c r="AE67" i="1"/>
  <c r="AD67" i="1"/>
  <c r="Z67" i="1"/>
  <c r="O67" i="1"/>
  <c r="BF67" i="1" s="1"/>
  <c r="L67" i="1"/>
  <c r="BW64" i="1"/>
  <c r="BJ64" i="1"/>
  <c r="BD64" i="1"/>
  <c r="AP64" i="1"/>
  <c r="AO64" i="1"/>
  <c r="BH64" i="1" s="1"/>
  <c r="AB64" i="1" s="1"/>
  <c r="AK64" i="1"/>
  <c r="AJ64" i="1"/>
  <c r="AH64" i="1"/>
  <c r="AG64" i="1"/>
  <c r="AF64" i="1"/>
  <c r="AE64" i="1"/>
  <c r="AD64" i="1"/>
  <c r="Z64" i="1"/>
  <c r="O64" i="1"/>
  <c r="BF64" i="1" s="1"/>
  <c r="L64" i="1"/>
  <c r="AL64" i="1" s="1"/>
  <c r="J64" i="1"/>
  <c r="BW60" i="1"/>
  <c r="M60" i="1" s="1"/>
  <c r="BJ60" i="1"/>
  <c r="BD60" i="1"/>
  <c r="AP60" i="1"/>
  <c r="AO60" i="1"/>
  <c r="AW60" i="1" s="1"/>
  <c r="AK60" i="1"/>
  <c r="AJ60" i="1"/>
  <c r="AH60" i="1"/>
  <c r="AG60" i="1"/>
  <c r="AF60" i="1"/>
  <c r="AE60" i="1"/>
  <c r="AD60" i="1"/>
  <c r="Z60" i="1"/>
  <c r="O60" i="1"/>
  <c r="O59" i="1" s="1"/>
  <c r="L60" i="1"/>
  <c r="AL60" i="1" s="1"/>
  <c r="J60" i="1"/>
  <c r="BW57" i="1"/>
  <c r="BJ57" i="1"/>
  <c r="BD57" i="1"/>
  <c r="AP57" i="1"/>
  <c r="AO57" i="1"/>
  <c r="AW57" i="1" s="1"/>
  <c r="AK57" i="1"/>
  <c r="AT56" i="1" s="1"/>
  <c r="AJ57" i="1"/>
  <c r="AS56" i="1" s="1"/>
  <c r="AH57" i="1"/>
  <c r="AG57" i="1"/>
  <c r="AF57" i="1"/>
  <c r="AE57" i="1"/>
  <c r="AD57" i="1"/>
  <c r="Z57" i="1"/>
  <c r="O57" i="1"/>
  <c r="O56" i="1" s="1"/>
  <c r="L57" i="1"/>
  <c r="J57" i="1"/>
  <c r="J56" i="1" s="1"/>
  <c r="BW55" i="1"/>
  <c r="M55" i="1" s="1"/>
  <c r="BJ55" i="1"/>
  <c r="BD55" i="1"/>
  <c r="AP55" i="1"/>
  <c r="BI55" i="1" s="1"/>
  <c r="AC55" i="1" s="1"/>
  <c r="AO55" i="1"/>
  <c r="AL55" i="1"/>
  <c r="AK55" i="1"/>
  <c r="AJ55" i="1"/>
  <c r="AH55" i="1"/>
  <c r="AG55" i="1"/>
  <c r="AF55" i="1"/>
  <c r="AE55" i="1"/>
  <c r="AD55" i="1"/>
  <c r="Z55" i="1"/>
  <c r="O55" i="1"/>
  <c r="BF55" i="1" s="1"/>
  <c r="L55" i="1"/>
  <c r="BW53" i="1"/>
  <c r="BJ53" i="1"/>
  <c r="BF53" i="1"/>
  <c r="BD53" i="1"/>
  <c r="AP53" i="1"/>
  <c r="AO53" i="1"/>
  <c r="AW53" i="1" s="1"/>
  <c r="AL53" i="1"/>
  <c r="AK53" i="1"/>
  <c r="AJ53" i="1"/>
  <c r="AH53" i="1"/>
  <c r="AG53" i="1"/>
  <c r="AF53" i="1"/>
  <c r="AE53" i="1"/>
  <c r="AD53" i="1"/>
  <c r="Z53" i="1"/>
  <c r="O53" i="1"/>
  <c r="L53" i="1"/>
  <c r="M53" i="1" s="1"/>
  <c r="BW52" i="1"/>
  <c r="BJ52" i="1"/>
  <c r="BF52" i="1"/>
  <c r="BD52" i="1"/>
  <c r="AP52" i="1"/>
  <c r="BI52" i="1" s="1"/>
  <c r="AC52" i="1" s="1"/>
  <c r="AO52" i="1"/>
  <c r="AK52" i="1"/>
  <c r="AJ52" i="1"/>
  <c r="AH52" i="1"/>
  <c r="AG52" i="1"/>
  <c r="AF52" i="1"/>
  <c r="AE52" i="1"/>
  <c r="AD52" i="1"/>
  <c r="Z52" i="1"/>
  <c r="O52" i="1"/>
  <c r="L52" i="1"/>
  <c r="BW50" i="1"/>
  <c r="BJ50" i="1"/>
  <c r="BD50" i="1"/>
  <c r="AP50" i="1"/>
  <c r="BI50" i="1" s="1"/>
  <c r="AC50" i="1" s="1"/>
  <c r="AO50" i="1"/>
  <c r="AK50" i="1"/>
  <c r="AJ50" i="1"/>
  <c r="AH50" i="1"/>
  <c r="AG50" i="1"/>
  <c r="AF50" i="1"/>
  <c r="AE50" i="1"/>
  <c r="AD50" i="1"/>
  <c r="Z50" i="1"/>
  <c r="O50" i="1"/>
  <c r="BF50" i="1" s="1"/>
  <c r="M50" i="1"/>
  <c r="L50" i="1"/>
  <c r="AL50" i="1" s="1"/>
  <c r="BW49" i="1"/>
  <c r="BJ49" i="1"/>
  <c r="BD49" i="1"/>
  <c r="AP49" i="1"/>
  <c r="BI49" i="1" s="1"/>
  <c r="AC49" i="1" s="1"/>
  <c r="AO49" i="1"/>
  <c r="AK49" i="1"/>
  <c r="AJ49" i="1"/>
  <c r="AH49" i="1"/>
  <c r="AG49" i="1"/>
  <c r="AF49" i="1"/>
  <c r="AE49" i="1"/>
  <c r="AD49" i="1"/>
  <c r="Z49" i="1"/>
  <c r="O49" i="1"/>
  <c r="BF49" i="1" s="1"/>
  <c r="L49" i="1"/>
  <c r="AL49" i="1" s="1"/>
  <c r="BW48" i="1"/>
  <c r="BJ48" i="1"/>
  <c r="BD48" i="1"/>
  <c r="AW48" i="1"/>
  <c r="AP48" i="1"/>
  <c r="AO48" i="1"/>
  <c r="AK48" i="1"/>
  <c r="AJ48" i="1"/>
  <c r="AH48" i="1"/>
  <c r="AG48" i="1"/>
  <c r="AF48" i="1"/>
  <c r="AE48" i="1"/>
  <c r="AD48" i="1"/>
  <c r="Z48" i="1"/>
  <c r="O48" i="1"/>
  <c r="BF48" i="1" s="1"/>
  <c r="L48" i="1"/>
  <c r="BW44" i="1"/>
  <c r="BJ44" i="1"/>
  <c r="BD44" i="1"/>
  <c r="AP44" i="1"/>
  <c r="K44" i="1" s="1"/>
  <c r="AO44" i="1"/>
  <c r="BH44" i="1" s="1"/>
  <c r="AB44" i="1" s="1"/>
  <c r="AL44" i="1"/>
  <c r="AK44" i="1"/>
  <c r="AT41" i="1" s="1"/>
  <c r="AJ44" i="1"/>
  <c r="AH44" i="1"/>
  <c r="AG44" i="1"/>
  <c r="AF44" i="1"/>
  <c r="AE44" i="1"/>
  <c r="AD44" i="1"/>
  <c r="Z44" i="1"/>
  <c r="O44" i="1"/>
  <c r="BF44" i="1" s="1"/>
  <c r="L44" i="1"/>
  <c r="M44" i="1" s="1"/>
  <c r="BW42" i="1"/>
  <c r="BJ42" i="1"/>
  <c r="BD42" i="1"/>
  <c r="AP42" i="1"/>
  <c r="K42" i="1" s="1"/>
  <c r="AO42" i="1"/>
  <c r="AL42" i="1"/>
  <c r="AU41" i="1" s="1"/>
  <c r="AK42" i="1"/>
  <c r="AJ42" i="1"/>
  <c r="AH42" i="1"/>
  <c r="AG42" i="1"/>
  <c r="AF42" i="1"/>
  <c r="AE42" i="1"/>
  <c r="AD42" i="1"/>
  <c r="Z42" i="1"/>
  <c r="O42" i="1"/>
  <c r="BF42" i="1" s="1"/>
  <c r="L42" i="1"/>
  <c r="AS41" i="1"/>
  <c r="BW40" i="1"/>
  <c r="BJ40" i="1"/>
  <c r="BI40" i="1"/>
  <c r="AC40" i="1" s="1"/>
  <c r="BF40" i="1"/>
  <c r="BD40" i="1"/>
  <c r="AP40" i="1"/>
  <c r="AX40" i="1" s="1"/>
  <c r="AO40" i="1"/>
  <c r="BH40" i="1" s="1"/>
  <c r="AB40" i="1" s="1"/>
  <c r="AK40" i="1"/>
  <c r="AJ40" i="1"/>
  <c r="AH40" i="1"/>
  <c r="AG40" i="1"/>
  <c r="AF40" i="1"/>
  <c r="AE40" i="1"/>
  <c r="AD40" i="1"/>
  <c r="Z40" i="1"/>
  <c r="O40" i="1"/>
  <c r="L40" i="1"/>
  <c r="BW36" i="1"/>
  <c r="BJ36" i="1"/>
  <c r="BI36" i="1"/>
  <c r="AC36" i="1" s="1"/>
  <c r="BF36" i="1"/>
  <c r="BD36" i="1"/>
  <c r="AP36" i="1"/>
  <c r="AX36" i="1" s="1"/>
  <c r="AO36" i="1"/>
  <c r="AK36" i="1"/>
  <c r="AJ36" i="1"/>
  <c r="AH36" i="1"/>
  <c r="AG36" i="1"/>
  <c r="AF36" i="1"/>
  <c r="AE36" i="1"/>
  <c r="AD36" i="1"/>
  <c r="Z36" i="1"/>
  <c r="O36" i="1"/>
  <c r="L36" i="1"/>
  <c r="K36" i="1"/>
  <c r="BW34" i="1"/>
  <c r="BJ34" i="1"/>
  <c r="BF34" i="1"/>
  <c r="BD34" i="1"/>
  <c r="AP34" i="1"/>
  <c r="AO34" i="1"/>
  <c r="AK34" i="1"/>
  <c r="AJ34" i="1"/>
  <c r="AH34" i="1"/>
  <c r="AG34" i="1"/>
  <c r="AF34" i="1"/>
  <c r="AE34" i="1"/>
  <c r="AD34" i="1"/>
  <c r="Z34" i="1"/>
  <c r="O34" i="1"/>
  <c r="L34" i="1"/>
  <c r="AL34" i="1" s="1"/>
  <c r="O33" i="1"/>
  <c r="BW30" i="1"/>
  <c r="BJ30" i="1"/>
  <c r="BD30" i="1"/>
  <c r="AP30" i="1"/>
  <c r="BI30" i="1" s="1"/>
  <c r="AC30" i="1" s="1"/>
  <c r="AO30" i="1"/>
  <c r="AL30" i="1"/>
  <c r="AK30" i="1"/>
  <c r="AJ30" i="1"/>
  <c r="AH30" i="1"/>
  <c r="AG30" i="1"/>
  <c r="AF30" i="1"/>
  <c r="AE30" i="1"/>
  <c r="AD30" i="1"/>
  <c r="Z30" i="1"/>
  <c r="O30" i="1"/>
  <c r="BF30" i="1" s="1"/>
  <c r="L30" i="1"/>
  <c r="BW28" i="1"/>
  <c r="BJ28" i="1"/>
  <c r="BF28" i="1"/>
  <c r="BD28" i="1"/>
  <c r="AP28" i="1"/>
  <c r="AO28" i="1"/>
  <c r="J28" i="1" s="1"/>
  <c r="AL28" i="1"/>
  <c r="AK28" i="1"/>
  <c r="AJ28" i="1"/>
  <c r="AH28" i="1"/>
  <c r="AG28" i="1"/>
  <c r="AF28" i="1"/>
  <c r="AE28" i="1"/>
  <c r="AD28" i="1"/>
  <c r="Z28" i="1"/>
  <c r="O28" i="1"/>
  <c r="L28" i="1"/>
  <c r="M28" i="1" s="1"/>
  <c r="BW26" i="1"/>
  <c r="BJ26" i="1"/>
  <c r="BD26" i="1"/>
  <c r="AP26" i="1"/>
  <c r="AX26" i="1" s="1"/>
  <c r="AO26" i="1"/>
  <c r="J26" i="1" s="1"/>
  <c r="AK26" i="1"/>
  <c r="AJ26" i="1"/>
  <c r="AH26" i="1"/>
  <c r="AG26" i="1"/>
  <c r="AF26" i="1"/>
  <c r="AE26" i="1"/>
  <c r="AD26" i="1"/>
  <c r="Z26" i="1"/>
  <c r="O26" i="1"/>
  <c r="BF26" i="1" s="1"/>
  <c r="L26" i="1"/>
  <c r="AL26" i="1" s="1"/>
  <c r="BW23" i="1"/>
  <c r="BJ23" i="1"/>
  <c r="BF23" i="1"/>
  <c r="BD23" i="1"/>
  <c r="AP23" i="1"/>
  <c r="AX23" i="1" s="1"/>
  <c r="AO23" i="1"/>
  <c r="AL23" i="1"/>
  <c r="AK23" i="1"/>
  <c r="AJ23" i="1"/>
  <c r="AH23" i="1"/>
  <c r="AG23" i="1"/>
  <c r="AF23" i="1"/>
  <c r="AE23" i="1"/>
  <c r="AD23" i="1"/>
  <c r="Z23" i="1"/>
  <c r="O23" i="1"/>
  <c r="L23" i="1"/>
  <c r="M23" i="1" s="1"/>
  <c r="BW21" i="1"/>
  <c r="BJ21" i="1"/>
  <c r="BI21" i="1"/>
  <c r="AC21" i="1" s="1"/>
  <c r="BH21" i="1"/>
  <c r="AB21" i="1" s="1"/>
  <c r="BD21" i="1"/>
  <c r="AX21" i="1"/>
  <c r="AW21" i="1"/>
  <c r="AV21" i="1" s="1"/>
  <c r="AP21" i="1"/>
  <c r="AO21" i="1"/>
  <c r="J21" i="1" s="1"/>
  <c r="AK21" i="1"/>
  <c r="AJ21" i="1"/>
  <c r="AH21" i="1"/>
  <c r="AG21" i="1"/>
  <c r="AF21" i="1"/>
  <c r="AE21" i="1"/>
  <c r="AD21" i="1"/>
  <c r="Z21" i="1"/>
  <c r="O21" i="1"/>
  <c r="BF21" i="1" s="1"/>
  <c r="L21" i="1"/>
  <c r="AL21" i="1" s="1"/>
  <c r="K21" i="1"/>
  <c r="BW18" i="1"/>
  <c r="BJ18" i="1"/>
  <c r="BI18" i="1"/>
  <c r="AC18" i="1" s="1"/>
  <c r="BH18" i="1"/>
  <c r="AB18" i="1" s="1"/>
  <c r="BD18" i="1"/>
  <c r="AP18" i="1"/>
  <c r="K18" i="1" s="1"/>
  <c r="AO18" i="1"/>
  <c r="J18" i="1" s="1"/>
  <c r="AK18" i="1"/>
  <c r="AJ18" i="1"/>
  <c r="AH18" i="1"/>
  <c r="AG18" i="1"/>
  <c r="AF18" i="1"/>
  <c r="AE18" i="1"/>
  <c r="AD18" i="1"/>
  <c r="Z18" i="1"/>
  <c r="O18" i="1"/>
  <c r="BF18" i="1" s="1"/>
  <c r="L18" i="1"/>
  <c r="BW15" i="1"/>
  <c r="BJ15" i="1"/>
  <c r="BD15" i="1"/>
  <c r="AP15" i="1"/>
  <c r="BI15" i="1" s="1"/>
  <c r="AC15" i="1" s="1"/>
  <c r="AO15" i="1"/>
  <c r="J15" i="1" s="1"/>
  <c r="AL15" i="1"/>
  <c r="AK15" i="1"/>
  <c r="AJ15" i="1"/>
  <c r="AH15" i="1"/>
  <c r="AG15" i="1"/>
  <c r="AF15" i="1"/>
  <c r="AE15" i="1"/>
  <c r="AD15" i="1"/>
  <c r="Z15" i="1"/>
  <c r="O15" i="1"/>
  <c r="BF15" i="1" s="1"/>
  <c r="L15" i="1"/>
  <c r="M15" i="1" s="1"/>
  <c r="BW14" i="1"/>
  <c r="BJ14" i="1"/>
  <c r="BD14" i="1"/>
  <c r="AP14" i="1"/>
  <c r="BI14" i="1" s="1"/>
  <c r="AC14" i="1" s="1"/>
  <c r="AO14" i="1"/>
  <c r="BH14" i="1" s="1"/>
  <c r="AB14" i="1" s="1"/>
  <c r="AK14" i="1"/>
  <c r="AJ14" i="1"/>
  <c r="AH14" i="1"/>
  <c r="AG14" i="1"/>
  <c r="AF14" i="1"/>
  <c r="AE14" i="1"/>
  <c r="AD14" i="1"/>
  <c r="Z14" i="1"/>
  <c r="O14" i="1"/>
  <c r="L14" i="1"/>
  <c r="AL14" i="1" s="1"/>
  <c r="AU1" i="1"/>
  <c r="AT1" i="1"/>
  <c r="AS1" i="1"/>
  <c r="AW14" i="1" l="1"/>
  <c r="AX14" i="1"/>
  <c r="J14" i="1"/>
  <c r="K14" i="1"/>
  <c r="AV119" i="1"/>
  <c r="BC119" i="1"/>
  <c r="K41" i="1"/>
  <c r="AW122" i="1"/>
  <c r="BH122" i="1"/>
  <c r="J122" i="1"/>
  <c r="M204" i="1"/>
  <c r="AW244" i="1"/>
  <c r="AV244" i="1" s="1"/>
  <c r="AW55" i="1"/>
  <c r="BC55" i="1" s="1"/>
  <c r="BH55" i="1"/>
  <c r="AB55" i="1" s="1"/>
  <c r="J55" i="1"/>
  <c r="AX86" i="1"/>
  <c r="BI120" i="1"/>
  <c r="BC126" i="1"/>
  <c r="AV126" i="1"/>
  <c r="AW26" i="1"/>
  <c r="BC26" i="1" s="1"/>
  <c r="J30" i="1"/>
  <c r="AW30" i="1"/>
  <c r="BH30" i="1"/>
  <c r="AB30" i="1" s="1"/>
  <c r="BH76" i="1"/>
  <c r="AB76" i="1" s="1"/>
  <c r="J76" i="1"/>
  <c r="AW76" i="1"/>
  <c r="M197" i="1"/>
  <c r="AL197" i="1"/>
  <c r="AX28" i="1"/>
  <c r="K28" i="1"/>
  <c r="BI28" i="1"/>
  <c r="AC28" i="1" s="1"/>
  <c r="L59" i="1"/>
  <c r="AL67" i="1"/>
  <c r="AX76" i="1"/>
  <c r="BI76" i="1"/>
  <c r="AC76" i="1" s="1"/>
  <c r="K76" i="1"/>
  <c r="K75" i="1" s="1"/>
  <c r="K93" i="1"/>
  <c r="K92" i="1" s="1"/>
  <c r="BI93" i="1"/>
  <c r="AC93" i="1" s="1"/>
  <c r="AX93" i="1"/>
  <c r="BI244" i="1"/>
  <c r="AG244" i="1" s="1"/>
  <c r="BH278" i="1"/>
  <c r="AB278" i="1" s="1"/>
  <c r="M21" i="1"/>
  <c r="BH26" i="1"/>
  <c r="AB26" i="1" s="1"/>
  <c r="BH87" i="1"/>
  <c r="AB87" i="1" s="1"/>
  <c r="M244" i="1"/>
  <c r="M278" i="1"/>
  <c r="M277" i="1" s="1"/>
  <c r="M276" i="1" s="1"/>
  <c r="AL278" i="1"/>
  <c r="AU277" i="1" s="1"/>
  <c r="BI26" i="1"/>
  <c r="AC26" i="1" s="1"/>
  <c r="M64" i="1"/>
  <c r="M70" i="1"/>
  <c r="AL70" i="1"/>
  <c r="J73" i="1"/>
  <c r="BI73" i="1"/>
  <c r="AC73" i="1" s="1"/>
  <c r="K86" i="1"/>
  <c r="AX98" i="1"/>
  <c r="BC98" i="1" s="1"/>
  <c r="BH132" i="1"/>
  <c r="BH175" i="1"/>
  <c r="AF175" i="1" s="1"/>
  <c r="J175" i="1"/>
  <c r="K26" i="1"/>
  <c r="AW44" i="1"/>
  <c r="J48" i="1"/>
  <c r="BH48" i="1"/>
  <c r="AB48" i="1" s="1"/>
  <c r="K73" i="1"/>
  <c r="J87" i="1"/>
  <c r="BI102" i="1"/>
  <c r="AC102" i="1" s="1"/>
  <c r="K102" i="1"/>
  <c r="AW108" i="1"/>
  <c r="AV108" i="1" s="1"/>
  <c r="J111" i="1"/>
  <c r="BH111" i="1"/>
  <c r="AW111" i="1"/>
  <c r="BC111" i="1" s="1"/>
  <c r="AW139" i="1"/>
  <c r="BC139" i="1" s="1"/>
  <c r="K150" i="1"/>
  <c r="BI150" i="1"/>
  <c r="AW168" i="1"/>
  <c r="AV168" i="1" s="1"/>
  <c r="M40" i="1"/>
  <c r="AL40" i="1"/>
  <c r="AX44" i="1"/>
  <c r="K48" i="1"/>
  <c r="BI48" i="1"/>
  <c r="AC48" i="1" s="1"/>
  <c r="AX48" i="1"/>
  <c r="AL57" i="1"/>
  <c r="AU56" i="1" s="1"/>
  <c r="L56" i="1"/>
  <c r="K89" i="1"/>
  <c r="AX102" i="1"/>
  <c r="AX108" i="1"/>
  <c r="AX111" i="1"/>
  <c r="BI111" i="1"/>
  <c r="K111" i="1"/>
  <c r="K110" i="1" s="1"/>
  <c r="J128" i="1"/>
  <c r="AX139" i="1"/>
  <c r="AX150" i="1"/>
  <c r="AW166" i="1"/>
  <c r="AX168" i="1"/>
  <c r="BC168" i="1" s="1"/>
  <c r="AW174" i="1"/>
  <c r="BI180" i="1"/>
  <c r="AG180" i="1" s="1"/>
  <c r="BC184" i="1"/>
  <c r="AV184" i="1"/>
  <c r="AX120" i="1"/>
  <c r="M231" i="1"/>
  <c r="AL231" i="1"/>
  <c r="M199" i="1"/>
  <c r="M186" i="1" s="1"/>
  <c r="AW278" i="1"/>
  <c r="BC278" i="1" s="1"/>
  <c r="AX70" i="1"/>
  <c r="AW73" i="1"/>
  <c r="AV73" i="1" s="1"/>
  <c r="AX90" i="1"/>
  <c r="K188" i="1"/>
  <c r="K244" i="1"/>
  <c r="M18" i="1"/>
  <c r="AL18" i="1"/>
  <c r="AU13" i="1" s="1"/>
  <c r="BI90" i="1"/>
  <c r="AC90" i="1" s="1"/>
  <c r="M254" i="1"/>
  <c r="AL254" i="1"/>
  <c r="AS47" i="1"/>
  <c r="K70" i="1"/>
  <c r="AW98" i="1"/>
  <c r="M124" i="1"/>
  <c r="AL124" i="1"/>
  <c r="BH108" i="1"/>
  <c r="BH222" i="1"/>
  <c r="AF222" i="1" s="1"/>
  <c r="J222" i="1"/>
  <c r="AW222" i="1"/>
  <c r="AS237" i="1"/>
  <c r="AW274" i="1"/>
  <c r="AV274" i="1" s="1"/>
  <c r="BH274" i="1"/>
  <c r="AB274" i="1" s="1"/>
  <c r="J274" i="1"/>
  <c r="BI44" i="1"/>
  <c r="AC44" i="1" s="1"/>
  <c r="J216" i="1"/>
  <c r="BH216" i="1"/>
  <c r="AF216" i="1" s="1"/>
  <c r="AW214" i="1"/>
  <c r="BH219" i="1"/>
  <c r="AF219" i="1" s="1"/>
  <c r="J219" i="1"/>
  <c r="AW219" i="1"/>
  <c r="BH240" i="1"/>
  <c r="AF240" i="1" s="1"/>
  <c r="J240" i="1"/>
  <c r="AW240" i="1"/>
  <c r="AV240" i="1" s="1"/>
  <c r="AL264" i="1"/>
  <c r="K272" i="1"/>
  <c r="BI272" i="1"/>
  <c r="AC272" i="1" s="1"/>
  <c r="J164" i="1"/>
  <c r="M166" i="1"/>
  <c r="AL166" i="1"/>
  <c r="AU163" i="1" s="1"/>
  <c r="J195" i="1"/>
  <c r="AW195" i="1"/>
  <c r="AV195" i="1" s="1"/>
  <c r="BH195" i="1"/>
  <c r="AF195" i="1" s="1"/>
  <c r="BI209" i="1"/>
  <c r="AG209" i="1" s="1"/>
  <c r="AX214" i="1"/>
  <c r="AW216" i="1"/>
  <c r="AW233" i="1"/>
  <c r="AX272" i="1"/>
  <c r="BI193" i="1"/>
  <c r="AG193" i="1" s="1"/>
  <c r="K193" i="1"/>
  <c r="AW268" i="1"/>
  <c r="BH268" i="1"/>
  <c r="AB268" i="1" s="1"/>
  <c r="J268" i="1"/>
  <c r="AX193" i="1"/>
  <c r="M206" i="1"/>
  <c r="AL206" i="1"/>
  <c r="M226" i="1"/>
  <c r="AX266" i="1"/>
  <c r="BC21" i="1"/>
  <c r="AV70" i="1"/>
  <c r="AX188" i="1"/>
  <c r="BC188" i="1" s="1"/>
  <c r="M201" i="1"/>
  <c r="AW52" i="1"/>
  <c r="BH52" i="1"/>
  <c r="AB52" i="1" s="1"/>
  <c r="J52" i="1"/>
  <c r="AW247" i="1"/>
  <c r="AV247" i="1" s="1"/>
  <c r="BH247" i="1"/>
  <c r="J247" i="1"/>
  <c r="J246" i="1" s="1"/>
  <c r="AL241" i="1"/>
  <c r="AU237" i="1" s="1"/>
  <c r="L237" i="1"/>
  <c r="J244" i="1"/>
  <c r="M256" i="1"/>
  <c r="AL256" i="1"/>
  <c r="BI266" i="1"/>
  <c r="AC266" i="1" s="1"/>
  <c r="M36" i="1"/>
  <c r="AL36" i="1"/>
  <c r="AU33" i="1" s="1"/>
  <c r="J44" i="1"/>
  <c r="J98" i="1"/>
  <c r="J132" i="1"/>
  <c r="J139" i="1"/>
  <c r="M34" i="1"/>
  <c r="K98" i="1"/>
  <c r="K139" i="1"/>
  <c r="BH174" i="1"/>
  <c r="AF174" i="1" s="1"/>
  <c r="AL214" i="1"/>
  <c r="K108" i="1"/>
  <c r="K107" i="1" s="1"/>
  <c r="K177" i="1"/>
  <c r="AX209" i="1"/>
  <c r="AS13" i="1"/>
  <c r="M96" i="1"/>
  <c r="AL187" i="1"/>
  <c r="AU186" i="1" s="1"/>
  <c r="AW231" i="1"/>
  <c r="BC258" i="1"/>
  <c r="AV258" i="1"/>
  <c r="J166" i="1"/>
  <c r="C28" i="3"/>
  <c r="F28" i="3" s="1"/>
  <c r="M113" i="1"/>
  <c r="M116" i="1"/>
  <c r="AU157" i="1"/>
  <c r="M161" i="1"/>
  <c r="BI195" i="1"/>
  <c r="AG195" i="1" s="1"/>
  <c r="AX195" i="1"/>
  <c r="K195" i="1"/>
  <c r="M211" i="1"/>
  <c r="AX216" i="1"/>
  <c r="BC216" i="1" s="1"/>
  <c r="M229" i="1"/>
  <c r="AL229" i="1"/>
  <c r="J231" i="1"/>
  <c r="AX243" i="1"/>
  <c r="AW260" i="1"/>
  <c r="BC260" i="1" s="1"/>
  <c r="AX262" i="1"/>
  <c r="BC262" i="1" s="1"/>
  <c r="AS79" i="1"/>
  <c r="M174" i="1"/>
  <c r="AT33" i="1"/>
  <c r="AX15" i="1"/>
  <c r="K122" i="1"/>
  <c r="AX122" i="1"/>
  <c r="AX153" i="1"/>
  <c r="AT157" i="1"/>
  <c r="AX254" i="1"/>
  <c r="K15" i="1"/>
  <c r="J153" i="1"/>
  <c r="AW199" i="1"/>
  <c r="BC199" i="1" s="1"/>
  <c r="AW224" i="1"/>
  <c r="AV224" i="1" s="1"/>
  <c r="AW241" i="1"/>
  <c r="AV241" i="1" s="1"/>
  <c r="K247" i="1"/>
  <c r="K246" i="1" s="1"/>
  <c r="BI247" i="1"/>
  <c r="AX256" i="1"/>
  <c r="M270" i="1"/>
  <c r="K274" i="1"/>
  <c r="AT79" i="1"/>
  <c r="AX274" i="1"/>
  <c r="AX30" i="1"/>
  <c r="K30" i="1"/>
  <c r="AS33" i="1"/>
  <c r="AW18" i="1"/>
  <c r="AW64" i="1"/>
  <c r="AW80" i="1"/>
  <c r="AW94" i="1"/>
  <c r="J184" i="1"/>
  <c r="J183" i="1" s="1"/>
  <c r="BI252" i="1"/>
  <c r="AC252" i="1" s="1"/>
  <c r="K49" i="1"/>
  <c r="BH60" i="1"/>
  <c r="AB60" i="1" s="1"/>
  <c r="AX67" i="1"/>
  <c r="AX77" i="1"/>
  <c r="K94" i="1"/>
  <c r="AX94" i="1"/>
  <c r="BH153" i="1"/>
  <c r="K184" i="1"/>
  <c r="K183" i="1" s="1"/>
  <c r="M219" i="1"/>
  <c r="K224" i="1"/>
  <c r="BH224" i="1"/>
  <c r="AF224" i="1" s="1"/>
  <c r="AT221" i="1"/>
  <c r="BI240" i="1"/>
  <c r="AG240" i="1" s="1"/>
  <c r="M247" i="1"/>
  <c r="M246" i="1" s="1"/>
  <c r="M274" i="1"/>
  <c r="AT251" i="1"/>
  <c r="AW15" i="1"/>
  <c r="AV15" i="1" s="1"/>
  <c r="AS157" i="1"/>
  <c r="AX240" i="1"/>
  <c r="AX252" i="1"/>
  <c r="BH15" i="1"/>
  <c r="AB15" i="1" s="1"/>
  <c r="AW77" i="1"/>
  <c r="K153" i="1"/>
  <c r="BI254" i="1"/>
  <c r="AC254" i="1" s="1"/>
  <c r="AX18" i="1"/>
  <c r="M57" i="1"/>
  <c r="M56" i="1" s="1"/>
  <c r="BI83" i="1"/>
  <c r="AC83" i="1" s="1"/>
  <c r="AS123" i="1"/>
  <c r="M195" i="1"/>
  <c r="J199" i="1"/>
  <c r="BI224" i="1"/>
  <c r="AG224" i="1" s="1"/>
  <c r="BI226" i="1"/>
  <c r="AG226" i="1" s="1"/>
  <c r="BH42" i="1"/>
  <c r="AB42" i="1" s="1"/>
  <c r="J42" i="1"/>
  <c r="AW42" i="1"/>
  <c r="BH89" i="1"/>
  <c r="AB89" i="1" s="1"/>
  <c r="J89" i="1"/>
  <c r="AW89" i="1"/>
  <c r="O163" i="1"/>
  <c r="O156" i="1" s="1"/>
  <c r="L13" i="2" s="1"/>
  <c r="AW165" i="1"/>
  <c r="J165" i="1"/>
  <c r="BH165" i="1"/>
  <c r="AF165" i="1" s="1"/>
  <c r="M14" i="1"/>
  <c r="M30" i="1"/>
  <c r="BI42" i="1"/>
  <c r="AC42" i="1" s="1"/>
  <c r="AX42" i="1"/>
  <c r="AX64" i="1"/>
  <c r="AV64" i="1" s="1"/>
  <c r="K64" i="1"/>
  <c r="BI64" i="1"/>
  <c r="AC64" i="1" s="1"/>
  <c r="BC153" i="1"/>
  <c r="AV153" i="1"/>
  <c r="BF14" i="1"/>
  <c r="O13" i="1"/>
  <c r="O12" i="1" s="1"/>
  <c r="L12" i="2" s="1"/>
  <c r="M48" i="1"/>
  <c r="AL48" i="1"/>
  <c r="L47" i="1"/>
  <c r="AX52" i="1"/>
  <c r="AV52" i="1" s="1"/>
  <c r="BF60" i="1"/>
  <c r="AL77" i="1"/>
  <c r="AL119" i="1"/>
  <c r="M119" i="1"/>
  <c r="BF126" i="1"/>
  <c r="O123" i="1"/>
  <c r="BI128" i="1"/>
  <c r="AX128" i="1"/>
  <c r="K166" i="1"/>
  <c r="AX166" i="1"/>
  <c r="O237" i="1"/>
  <c r="O41" i="1"/>
  <c r="BH53" i="1"/>
  <c r="AB53" i="1" s="1"/>
  <c r="J53" i="1"/>
  <c r="AL76" i="1"/>
  <c r="AU75" i="1" s="1"/>
  <c r="M76" i="1"/>
  <c r="M75" i="1" s="1"/>
  <c r="L75" i="1"/>
  <c r="M108" i="1"/>
  <c r="M107" i="1" s="1"/>
  <c r="L107" i="1"/>
  <c r="AL108" i="1"/>
  <c r="AU107" i="1" s="1"/>
  <c r="AW128" i="1"/>
  <c r="K132" i="1"/>
  <c r="AX132" i="1"/>
  <c r="BI132" i="1"/>
  <c r="BH136" i="1"/>
  <c r="J136" i="1"/>
  <c r="AW136" i="1"/>
  <c r="AV260" i="1"/>
  <c r="BI53" i="1"/>
  <c r="AC53" i="1" s="1"/>
  <c r="AX53" i="1"/>
  <c r="AV53" i="1" s="1"/>
  <c r="AX158" i="1"/>
  <c r="AV158" i="1" s="1"/>
  <c r="BI158" i="1"/>
  <c r="AC158" i="1" s="1"/>
  <c r="K158" i="1"/>
  <c r="BH171" i="1"/>
  <c r="AF171" i="1" s="1"/>
  <c r="AW171" i="1"/>
  <c r="M260" i="1"/>
  <c r="K53" i="1"/>
  <c r="BF77" i="1"/>
  <c r="O75" i="1"/>
  <c r="J96" i="1"/>
  <c r="AW96" i="1"/>
  <c r="BH96" i="1"/>
  <c r="AB96" i="1" s="1"/>
  <c r="AW201" i="1"/>
  <c r="M52" i="1"/>
  <c r="AL52" i="1"/>
  <c r="AW28" i="1"/>
  <c r="AW190" i="1"/>
  <c r="J190" i="1"/>
  <c r="BH190" i="1"/>
  <c r="AF190" i="1" s="1"/>
  <c r="C16" i="3"/>
  <c r="BH28" i="1"/>
  <c r="AB28" i="1" s="1"/>
  <c r="AS59" i="1"/>
  <c r="BF80" i="1"/>
  <c r="O79" i="1"/>
  <c r="O110" i="1"/>
  <c r="BF113" i="1"/>
  <c r="J142" i="1"/>
  <c r="BH142" i="1"/>
  <c r="AW175" i="1"/>
  <c r="AX211" i="1"/>
  <c r="K211" i="1"/>
  <c r="AT237" i="1"/>
  <c r="BC244" i="1"/>
  <c r="J34" i="1"/>
  <c r="AW34" i="1"/>
  <c r="M49" i="1"/>
  <c r="BI96" i="1"/>
  <c r="AC96" i="1" s="1"/>
  <c r="AX96" i="1"/>
  <c r="K96" i="1"/>
  <c r="AX201" i="1"/>
  <c r="K201" i="1"/>
  <c r="J36" i="1"/>
  <c r="AW36" i="1"/>
  <c r="BH36" i="1"/>
  <c r="AB36" i="1" s="1"/>
  <c r="K52" i="1"/>
  <c r="BH102" i="1"/>
  <c r="AB102" i="1" s="1"/>
  <c r="J102" i="1"/>
  <c r="BI201" i="1"/>
  <c r="AG201" i="1" s="1"/>
  <c r="BI219" i="1"/>
  <c r="AG219" i="1" s="1"/>
  <c r="AX219" i="1"/>
  <c r="AV219" i="1" s="1"/>
  <c r="BC70" i="1"/>
  <c r="AW93" i="1"/>
  <c r="J93" i="1"/>
  <c r="J92" i="1" s="1"/>
  <c r="BH93" i="1"/>
  <c r="AB93" i="1" s="1"/>
  <c r="J201" i="1"/>
  <c r="BC85" i="1"/>
  <c r="AV85" i="1"/>
  <c r="AW102" i="1"/>
  <c r="BI124" i="1"/>
  <c r="K124" i="1"/>
  <c r="AX124" i="1"/>
  <c r="C27" i="3"/>
  <c r="AV48" i="1"/>
  <c r="BC48" i="1"/>
  <c r="AX57" i="1"/>
  <c r="AV57" i="1" s="1"/>
  <c r="K57" i="1"/>
  <c r="K56" i="1" s="1"/>
  <c r="BI57" i="1"/>
  <c r="AC57" i="1" s="1"/>
  <c r="L13" i="1"/>
  <c r="BH49" i="1"/>
  <c r="AB49" i="1" s="1"/>
  <c r="J49" i="1"/>
  <c r="AW49" i="1"/>
  <c r="AW146" i="1"/>
  <c r="M171" i="1"/>
  <c r="AL171" i="1"/>
  <c r="BC264" i="1"/>
  <c r="AV264" i="1"/>
  <c r="AX34" i="1"/>
  <c r="K34" i="1"/>
  <c r="BI34" i="1"/>
  <c r="AC34" i="1" s="1"/>
  <c r="AV83" i="1"/>
  <c r="BC83" i="1"/>
  <c r="M89" i="1"/>
  <c r="BH158" i="1"/>
  <c r="AB158" i="1" s="1"/>
  <c r="J158" i="1"/>
  <c r="J157" i="1" s="1"/>
  <c r="M26" i="1"/>
  <c r="BC80" i="1"/>
  <c r="AV80" i="1"/>
  <c r="AW103" i="1"/>
  <c r="BH103" i="1"/>
  <c r="AB103" i="1" s="1"/>
  <c r="J103" i="1"/>
  <c r="BH113" i="1"/>
  <c r="AW113" i="1"/>
  <c r="J113" i="1"/>
  <c r="J204" i="1"/>
  <c r="AW204" i="1"/>
  <c r="BH204" i="1"/>
  <c r="AF204" i="1" s="1"/>
  <c r="AW252" i="1"/>
  <c r="J252" i="1"/>
  <c r="F14" i="3"/>
  <c r="F22" i="3" s="1"/>
  <c r="I18" i="4"/>
  <c r="BH34" i="1"/>
  <c r="AB34" i="1" s="1"/>
  <c r="K103" i="1"/>
  <c r="AX103" i="1"/>
  <c r="AW40" i="1"/>
  <c r="J40" i="1"/>
  <c r="AT123" i="1"/>
  <c r="AX142" i="1"/>
  <c r="AV142" i="1" s="1"/>
  <c r="K142" i="1"/>
  <c r="BI142" i="1"/>
  <c r="M168" i="1"/>
  <c r="AL168" i="1"/>
  <c r="BH83" i="1"/>
  <c r="AB83" i="1" s="1"/>
  <c r="AL98" i="1"/>
  <c r="M98" i="1"/>
  <c r="AW254" i="1"/>
  <c r="J254" i="1"/>
  <c r="BH254" i="1"/>
  <c r="AB254" i="1" s="1"/>
  <c r="AW86" i="1"/>
  <c r="J86" i="1"/>
  <c r="BH86" i="1"/>
  <c r="AB86" i="1" s="1"/>
  <c r="BI103" i="1"/>
  <c r="AC103" i="1" s="1"/>
  <c r="K219" i="1"/>
  <c r="BI222" i="1"/>
  <c r="AG222" i="1" s="1"/>
  <c r="AX222" i="1"/>
  <c r="K222" i="1"/>
  <c r="J83" i="1"/>
  <c r="BI146" i="1"/>
  <c r="K146" i="1"/>
  <c r="BI175" i="1"/>
  <c r="AG175" i="1" s="1"/>
  <c r="K175" i="1"/>
  <c r="O251" i="1"/>
  <c r="O250" i="1" s="1"/>
  <c r="L14" i="2" s="1"/>
  <c r="AW23" i="1"/>
  <c r="BH23" i="1"/>
  <c r="AB23" i="1" s="1"/>
  <c r="J23" i="1"/>
  <c r="BF57" i="1"/>
  <c r="AU59" i="1"/>
  <c r="M85" i="1"/>
  <c r="L79" i="1"/>
  <c r="AL85" i="1"/>
  <c r="AU79" i="1" s="1"/>
  <c r="BC108" i="1"/>
  <c r="AX146" i="1"/>
  <c r="J177" i="1"/>
  <c r="BH177" i="1"/>
  <c r="AF177" i="1" s="1"/>
  <c r="AW177" i="1"/>
  <c r="AW238" i="1"/>
  <c r="J238" i="1"/>
  <c r="BH238" i="1"/>
  <c r="AF238" i="1" s="1"/>
  <c r="AL252" i="1"/>
  <c r="L251" i="1"/>
  <c r="L250" i="1" s="1"/>
  <c r="K14" i="2" s="1"/>
  <c r="P14" i="2" s="1"/>
  <c r="M252" i="1"/>
  <c r="AT13" i="1"/>
  <c r="K23" i="1"/>
  <c r="K13" i="1" s="1"/>
  <c r="BI23" i="1"/>
  <c r="AC23" i="1" s="1"/>
  <c r="AX50" i="1"/>
  <c r="K50" i="1"/>
  <c r="K47" i="1" s="1"/>
  <c r="BC52" i="1"/>
  <c r="BH57" i="1"/>
  <c r="AB57" i="1" s="1"/>
  <c r="J146" i="1"/>
  <c r="AS221" i="1"/>
  <c r="AX238" i="1"/>
  <c r="K238" i="1"/>
  <c r="BI238" i="1"/>
  <c r="AG238" i="1" s="1"/>
  <c r="BH105" i="1"/>
  <c r="AB105" i="1" s="1"/>
  <c r="J105" i="1"/>
  <c r="AW105" i="1"/>
  <c r="BI136" i="1"/>
  <c r="AX136" i="1"/>
  <c r="K136" i="1"/>
  <c r="AX161" i="1"/>
  <c r="K161" i="1"/>
  <c r="BI161" i="1"/>
  <c r="AC161" i="1" s="1"/>
  <c r="C20" i="3"/>
  <c r="M86" i="1"/>
  <c r="AX87" i="1"/>
  <c r="AV87" i="1" s="1"/>
  <c r="K87" i="1"/>
  <c r="BI87" i="1"/>
  <c r="AC87" i="1" s="1"/>
  <c r="K105" i="1"/>
  <c r="AX105" i="1"/>
  <c r="AW120" i="1"/>
  <c r="J120" i="1"/>
  <c r="L221" i="1"/>
  <c r="AL222" i="1"/>
  <c r="AX268" i="1"/>
  <c r="AV268" i="1" s="1"/>
  <c r="K268" i="1"/>
  <c r="BI268" i="1"/>
  <c r="AC268" i="1" s="1"/>
  <c r="BH270" i="1"/>
  <c r="AB270" i="1" s="1"/>
  <c r="J270" i="1"/>
  <c r="AW270" i="1"/>
  <c r="I14" i="3"/>
  <c r="I22" i="3" s="1"/>
  <c r="I27" i="4"/>
  <c r="AV30" i="1"/>
  <c r="M110" i="1"/>
  <c r="AW124" i="1"/>
  <c r="J124" i="1"/>
  <c r="M132" i="1"/>
  <c r="M150" i="1"/>
  <c r="M158" i="1"/>
  <c r="M157" i="1" s="1"/>
  <c r="M175" i="1"/>
  <c r="AX177" i="1"/>
  <c r="J206" i="1"/>
  <c r="AW206" i="1"/>
  <c r="M222" i="1"/>
  <c r="BI270" i="1"/>
  <c r="AC270" i="1" s="1"/>
  <c r="K270" i="1"/>
  <c r="AX270" i="1"/>
  <c r="AV278" i="1"/>
  <c r="J80" i="1"/>
  <c r="BI105" i="1"/>
  <c r="AC105" i="1" s="1"/>
  <c r="AV139" i="1"/>
  <c r="BH226" i="1"/>
  <c r="AF226" i="1" s="1"/>
  <c r="AW226" i="1"/>
  <c r="J226" i="1"/>
  <c r="BH243" i="1"/>
  <c r="AF243" i="1" s="1"/>
  <c r="J243" i="1"/>
  <c r="AW243" i="1"/>
  <c r="K278" i="1"/>
  <c r="K277" i="1" s="1"/>
  <c r="K276" i="1" s="1"/>
  <c r="J15" i="2" s="1"/>
  <c r="M216" i="1"/>
  <c r="BC224" i="1"/>
  <c r="BH120" i="1"/>
  <c r="BH197" i="1"/>
  <c r="AF197" i="1" s="1"/>
  <c r="AW197" i="1"/>
  <c r="J197" i="1"/>
  <c r="BH206" i="1"/>
  <c r="AF206" i="1" s="1"/>
  <c r="AV209" i="1"/>
  <c r="BC209" i="1"/>
  <c r="M241" i="1"/>
  <c r="M272" i="1"/>
  <c r="O221" i="1"/>
  <c r="L41" i="1"/>
  <c r="M42" i="1"/>
  <c r="M41" i="1" s="1"/>
  <c r="O47" i="1"/>
  <c r="M67" i="1"/>
  <c r="K80" i="1"/>
  <c r="AT95" i="1"/>
  <c r="AL103" i="1"/>
  <c r="M103" i="1"/>
  <c r="K40" i="1"/>
  <c r="AX49" i="1"/>
  <c r="BH50" i="1"/>
  <c r="AB50" i="1" s="1"/>
  <c r="AW50" i="1"/>
  <c r="J50" i="1"/>
  <c r="M80" i="1"/>
  <c r="AS95" i="1"/>
  <c r="BH124" i="1"/>
  <c r="K164" i="1"/>
  <c r="BI164" i="1"/>
  <c r="AG164" i="1" s="1"/>
  <c r="AX164" i="1"/>
  <c r="BC164" i="1" s="1"/>
  <c r="AX171" i="1"/>
  <c r="AW187" i="1"/>
  <c r="J187" i="1"/>
  <c r="BI197" i="1"/>
  <c r="AG197" i="1" s="1"/>
  <c r="K197" i="1"/>
  <c r="BI229" i="1"/>
  <c r="AG229" i="1" s="1"/>
  <c r="AX229" i="1"/>
  <c r="BC229" i="1" s="1"/>
  <c r="AL258" i="1"/>
  <c r="M258" i="1"/>
  <c r="BI260" i="1"/>
  <c r="AC260" i="1" s="1"/>
  <c r="K260" i="1"/>
  <c r="AV262" i="1"/>
  <c r="BI278" i="1"/>
  <c r="AC278" i="1" s="1"/>
  <c r="AX187" i="1"/>
  <c r="K187" i="1"/>
  <c r="BI187" i="1"/>
  <c r="AC187" i="1" s="1"/>
  <c r="AW211" i="1"/>
  <c r="J211" i="1"/>
  <c r="BH211" i="1"/>
  <c r="AF211" i="1" s="1"/>
  <c r="AW266" i="1"/>
  <c r="J266" i="1"/>
  <c r="AL111" i="1"/>
  <c r="AU110" i="1" s="1"/>
  <c r="AW116" i="1"/>
  <c r="BH116" i="1"/>
  <c r="AL146" i="1"/>
  <c r="M146" i="1"/>
  <c r="AW150" i="1"/>
  <c r="J150" i="1"/>
  <c r="AL193" i="1"/>
  <c r="BC247" i="1"/>
  <c r="AT47" i="1"/>
  <c r="AX60" i="1"/>
  <c r="BC60" i="1" s="1"/>
  <c r="K60" i="1"/>
  <c r="BI60" i="1"/>
  <c r="AC60" i="1" s="1"/>
  <c r="AT163" i="1"/>
  <c r="AW193" i="1"/>
  <c r="J193" i="1"/>
  <c r="AX190" i="1"/>
  <c r="K190" i="1"/>
  <c r="AX206" i="1"/>
  <c r="BI206" i="1"/>
  <c r="AG206" i="1" s="1"/>
  <c r="AW256" i="1"/>
  <c r="J256" i="1"/>
  <c r="AX55" i="1"/>
  <c r="AV55" i="1" s="1"/>
  <c r="K55" i="1"/>
  <c r="C17" i="3"/>
  <c r="L33" i="1"/>
  <c r="BC73" i="1"/>
  <c r="M105" i="1"/>
  <c r="AL105" i="1"/>
  <c r="L110" i="1"/>
  <c r="AX174" i="1"/>
  <c r="K174" i="1"/>
  <c r="AW180" i="1"/>
  <c r="K226" i="1"/>
  <c r="AX233" i="1"/>
  <c r="M243" i="1"/>
  <c r="BF247" i="1"/>
  <c r="J264" i="1"/>
  <c r="J85" i="1"/>
  <c r="AX89" i="1"/>
  <c r="AL126" i="1"/>
  <c r="AU123" i="1" s="1"/>
  <c r="M126" i="1"/>
  <c r="M123" i="1" s="1"/>
  <c r="BI190" i="1"/>
  <c r="AG190" i="1" s="1"/>
  <c r="K199" i="1"/>
  <c r="K206" i="1"/>
  <c r="K233" i="1"/>
  <c r="K264" i="1"/>
  <c r="AW67" i="1"/>
  <c r="J67" i="1"/>
  <c r="J77" i="1"/>
  <c r="J75" i="1" s="1"/>
  <c r="AX165" i="1"/>
  <c r="K165" i="1"/>
  <c r="AL73" i="1"/>
  <c r="M73" i="1"/>
  <c r="M184" i="1"/>
  <c r="M183" i="1" s="1"/>
  <c r="AV216" i="1"/>
  <c r="M262" i="1"/>
  <c r="AW90" i="1"/>
  <c r="J90" i="1"/>
  <c r="AX116" i="1"/>
  <c r="K116" i="1"/>
  <c r="BI116" i="1"/>
  <c r="AW235" i="1"/>
  <c r="J235" i="1"/>
  <c r="BH235" i="1"/>
  <c r="AF235" i="1" s="1"/>
  <c r="AS251" i="1"/>
  <c r="AW272" i="1"/>
  <c r="J272" i="1"/>
  <c r="C21" i="3"/>
  <c r="L163" i="1"/>
  <c r="AX235" i="1"/>
  <c r="K235" i="1"/>
  <c r="AV14" i="1" l="1"/>
  <c r="BC14" i="1"/>
  <c r="C15" i="3"/>
  <c r="BC231" i="1"/>
  <c r="AV231" i="1"/>
  <c r="M221" i="1"/>
  <c r="BC219" i="1"/>
  <c r="M95" i="1"/>
  <c r="AU221" i="1"/>
  <c r="BC240" i="1"/>
  <c r="BC76" i="1"/>
  <c r="AV76" i="1"/>
  <c r="BC57" i="1"/>
  <c r="K95" i="1"/>
  <c r="M33" i="1"/>
  <c r="AV44" i="1"/>
  <c r="BC44" i="1"/>
  <c r="AV214" i="1"/>
  <c r="AU47" i="1"/>
  <c r="M47" i="1"/>
  <c r="AV26" i="1"/>
  <c r="BC53" i="1"/>
  <c r="J41" i="1"/>
  <c r="BC241" i="1"/>
  <c r="AV229" i="1"/>
  <c r="BC214" i="1"/>
  <c r="J59" i="1"/>
  <c r="J186" i="1"/>
  <c r="J95" i="1"/>
  <c r="AU95" i="1"/>
  <c r="C14" i="3"/>
  <c r="BC94" i="1"/>
  <c r="AV94" i="1"/>
  <c r="M59" i="1"/>
  <c r="L156" i="1"/>
  <c r="K13" i="2" s="1"/>
  <c r="P13" i="2" s="1"/>
  <c r="AV111" i="1"/>
  <c r="K251" i="1"/>
  <c r="K250" i="1" s="1"/>
  <c r="J14" i="2" s="1"/>
  <c r="AV199" i="1"/>
  <c r="J221" i="1"/>
  <c r="M163" i="1"/>
  <c r="J110" i="1"/>
  <c r="BC18" i="1"/>
  <c r="AV18" i="1"/>
  <c r="C18" i="3"/>
  <c r="BC274" i="1"/>
  <c r="AV98" i="1"/>
  <c r="BC195" i="1"/>
  <c r="BC30" i="1"/>
  <c r="BC87" i="1"/>
  <c r="BC77" i="1"/>
  <c r="AV77" i="1"/>
  <c r="J13" i="1"/>
  <c r="BC166" i="1"/>
  <c r="AV188" i="1"/>
  <c r="K79" i="1"/>
  <c r="K123" i="1"/>
  <c r="BC158" i="1"/>
  <c r="C19" i="3"/>
  <c r="K237" i="1"/>
  <c r="BC122" i="1"/>
  <c r="AV122" i="1"/>
  <c r="AV222" i="1"/>
  <c r="J163" i="1"/>
  <c r="BC15" i="1"/>
  <c r="AV272" i="1"/>
  <c r="BC272" i="1"/>
  <c r="AV150" i="1"/>
  <c r="BC150" i="1"/>
  <c r="J79" i="1"/>
  <c r="AV177" i="1"/>
  <c r="BC177" i="1"/>
  <c r="AV252" i="1"/>
  <c r="BC252" i="1"/>
  <c r="AV164" i="1"/>
  <c r="BC201" i="1"/>
  <c r="AV201" i="1"/>
  <c r="AV165" i="1"/>
  <c r="BC165" i="1"/>
  <c r="AV197" i="1"/>
  <c r="BC197" i="1"/>
  <c r="AV204" i="1"/>
  <c r="BC204" i="1"/>
  <c r="AV175" i="1"/>
  <c r="BC175" i="1"/>
  <c r="AV67" i="1"/>
  <c r="BC67" i="1"/>
  <c r="AV256" i="1"/>
  <c r="BC256" i="1"/>
  <c r="BC270" i="1"/>
  <c r="AV270" i="1"/>
  <c r="K33" i="1"/>
  <c r="K12" i="1" s="1"/>
  <c r="J12" i="2" s="1"/>
  <c r="BC136" i="1"/>
  <c r="AV136" i="1"/>
  <c r="AV235" i="1"/>
  <c r="BC235" i="1"/>
  <c r="BC116" i="1"/>
  <c r="AV116" i="1"/>
  <c r="AV96" i="1"/>
  <c r="BC96" i="1"/>
  <c r="AV89" i="1"/>
  <c r="BC89" i="1"/>
  <c r="BC180" i="1"/>
  <c r="AV180" i="1"/>
  <c r="AV161" i="1"/>
  <c r="BC161" i="1"/>
  <c r="AV113" i="1"/>
  <c r="BC113" i="1"/>
  <c r="AV36" i="1"/>
  <c r="BC36" i="1"/>
  <c r="AV266" i="1"/>
  <c r="BC266" i="1"/>
  <c r="BC102" i="1"/>
  <c r="AV102" i="1"/>
  <c r="BC132" i="1"/>
  <c r="AV132" i="1"/>
  <c r="BC42" i="1"/>
  <c r="AV42" i="1"/>
  <c r="AV90" i="1"/>
  <c r="BC90" i="1"/>
  <c r="BC268" i="1"/>
  <c r="BC105" i="1"/>
  <c r="AV105" i="1"/>
  <c r="BC40" i="1"/>
  <c r="AV40" i="1"/>
  <c r="K163" i="1"/>
  <c r="M156" i="1"/>
  <c r="BC142" i="1"/>
  <c r="BC146" i="1"/>
  <c r="AV146" i="1"/>
  <c r="K59" i="1"/>
  <c r="AV86" i="1"/>
  <c r="BC86" i="1"/>
  <c r="AV49" i="1"/>
  <c r="BC49" i="1"/>
  <c r="BC64" i="1"/>
  <c r="BC23" i="1"/>
  <c r="AV23" i="1"/>
  <c r="K157" i="1"/>
  <c r="BC222" i="1"/>
  <c r="AV60" i="1"/>
  <c r="J123" i="1"/>
  <c r="AU251" i="1"/>
  <c r="J156" i="1"/>
  <c r="I13" i="2" s="1"/>
  <c r="AV93" i="1"/>
  <c r="BC93" i="1"/>
  <c r="BC34" i="1"/>
  <c r="AV34" i="1"/>
  <c r="AV190" i="1"/>
  <c r="BC190" i="1"/>
  <c r="M79" i="1"/>
  <c r="M237" i="1"/>
  <c r="AV124" i="1"/>
  <c r="BC124" i="1"/>
  <c r="AV254" i="1"/>
  <c r="BC254" i="1"/>
  <c r="F29" i="4"/>
  <c r="L280" i="1"/>
  <c r="L12" i="1"/>
  <c r="K12" i="2" s="1"/>
  <c r="P12" i="2" s="1"/>
  <c r="J33" i="1"/>
  <c r="K221" i="1"/>
  <c r="BC233" i="1"/>
  <c r="AV233" i="1"/>
  <c r="BC187" i="1"/>
  <c r="AV187" i="1"/>
  <c r="BC206" i="1"/>
  <c r="AV206" i="1"/>
  <c r="AV174" i="1"/>
  <c r="BC174" i="1"/>
  <c r="AV243" i="1"/>
  <c r="BC243" i="1"/>
  <c r="AV193" i="1"/>
  <c r="BC193" i="1"/>
  <c r="BC128" i="1"/>
  <c r="AV128" i="1"/>
  <c r="AV211" i="1"/>
  <c r="BC211" i="1"/>
  <c r="AV103" i="1"/>
  <c r="BC103" i="1"/>
  <c r="BC171" i="1"/>
  <c r="AV171" i="1"/>
  <c r="K186" i="1"/>
  <c r="BC226" i="1"/>
  <c r="AV226" i="1"/>
  <c r="AV120" i="1"/>
  <c r="BC120" i="1"/>
  <c r="M251" i="1"/>
  <c r="M250" i="1" s="1"/>
  <c r="AV166" i="1"/>
  <c r="J47" i="1"/>
  <c r="J237" i="1"/>
  <c r="C29" i="3"/>
  <c r="F29" i="3" s="1"/>
  <c r="BC28" i="1"/>
  <c r="AV28" i="1"/>
  <c r="M13" i="1"/>
  <c r="BC50" i="1"/>
  <c r="AV50" i="1"/>
  <c r="AV238" i="1"/>
  <c r="BC238" i="1"/>
  <c r="J251" i="1"/>
  <c r="J250" i="1" s="1"/>
  <c r="I14" i="2" s="1"/>
  <c r="C22" i="3" l="1"/>
  <c r="J12" i="1"/>
  <c r="I12" i="2" s="1"/>
  <c r="K16" i="2"/>
  <c r="I28" i="3"/>
  <c r="I29" i="3" s="1"/>
  <c r="M280" i="1"/>
  <c r="M12" i="1"/>
  <c r="K156" i="1"/>
  <c r="J13" i="2" s="1"/>
</calcChain>
</file>

<file path=xl/sharedStrings.xml><?xml version="1.0" encoding="utf-8"?>
<sst xmlns="http://schemas.openxmlformats.org/spreadsheetml/2006/main" count="2272" uniqueCount="647">
  <si>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</si>
  <si>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</si>
  <si>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</si>
  <si>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</si>
  <si>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</si>
  <si>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</si>
  <si>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</si>
  <si>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</si>
  <si>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113.1 - Rekonstr. parkoviště před byt. domy U Hřbitova 30-34 + SO 402_VO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</si>
  <si>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</si>
  <si>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</si>
  <si>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</si>
  <si>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</si>
  <si>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</si>
  <si>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</si>
  <si>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</si>
  <si>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</si>
  <si>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</si>
  <si>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</si>
  <si>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29.08.2024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</si>
  <si>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</si>
  <si>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</si>
  <si>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</si>
  <si>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</si>
  <si>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</si>
  <si>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</si>
  <si>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</si>
  <si>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</si>
  <si>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</si>
  <si>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</si>
  <si>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</si>
  <si>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</si>
  <si>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</si>
  <si>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</si>
  <si>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</si>
  <si>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</si>
  <si>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</si>
  <si>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</si>
  <si>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</si>
  <si>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</si>
  <si>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</si>
  <si>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</si>
  <si>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</si>
  <si>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</si>
  <si>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</si>
  <si>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</si>
  <si>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</si>
  <si>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</si>
  <si>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</si>
  <si>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</si>
  <si>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</si>
  <si>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</si>
  <si>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</si>
  <si>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</si>
  <si>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</si>
  <si>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</si>
  <si>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</si>
  <si>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113.1</t>
  </si>
  <si>
    <t>Rekonstrukce parkoviště před BD U Hřbitova 30-34</t>
  </si>
  <si>
    <t>11</t>
  </si>
  <si>
    <t>Přípravné a přidružené práce</t>
  </si>
  <si>
    <t>1</t>
  </si>
  <si>
    <t>113106121R00</t>
  </si>
  <si>
    <t>Rozebrání dlažeb z betonových dlaždic 30/30 na sucho</t>
  </si>
  <si>
    <t>m2</t>
  </si>
  <si>
    <t>21</t>
  </si>
  <si>
    <t>RTS I / 2024</t>
  </si>
  <si>
    <t>11_</t>
  </si>
  <si>
    <t>113.1_1_</t>
  </si>
  <si>
    <t>113.1_</t>
  </si>
  <si>
    <t>2</t>
  </si>
  <si>
    <t>113106231R00</t>
  </si>
  <si>
    <t>Rozebrání dlažeb ze zámkové dlažby v kamenivu</t>
  </si>
  <si>
    <t>Varianta:</t>
  </si>
  <si>
    <t>vchody</t>
  </si>
  <si>
    <t>4,7*3</t>
  </si>
  <si>
    <t>3</t>
  </si>
  <si>
    <t>113107517R00</t>
  </si>
  <si>
    <t>Odstranění podkladu pl. do 50 m2,kam.drcené tl.17 cm</t>
  </si>
  <si>
    <t>oblouk u obratiště</t>
  </si>
  <si>
    <t>14,0+5,0</t>
  </si>
  <si>
    <t>4</t>
  </si>
  <si>
    <t>113107625R00</t>
  </si>
  <si>
    <t>Odstranění podkladu nad 50 m2, kam.drcené tl.25 cm</t>
  </si>
  <si>
    <t>parkoviště</t>
  </si>
  <si>
    <t>5</t>
  </si>
  <si>
    <t>113108320R00</t>
  </si>
  <si>
    <t>Odstranění asfaltové vrstvy pl. do 50 m2, tl.20 cm</t>
  </si>
  <si>
    <t>6</t>
  </si>
  <si>
    <t>113108412R00</t>
  </si>
  <si>
    <t>Odstranění asfaltové vrstvy pl.nad 50 m2, tl.12 cm</t>
  </si>
  <si>
    <t>7</t>
  </si>
  <si>
    <t>113201111R00</t>
  </si>
  <si>
    <t>Vytrhání obrubníků chodníkových a parkových</t>
  </si>
  <si>
    <t>m</t>
  </si>
  <si>
    <t>3,0+3,0+2,0*2*3</t>
  </si>
  <si>
    <t>8</t>
  </si>
  <si>
    <t>113202111R00</t>
  </si>
  <si>
    <t>Vytrhání obrub obrubníků silničních</t>
  </si>
  <si>
    <t>kamenné obrubníky + beton. nájezdové</t>
  </si>
  <si>
    <t>66,0+84,5</t>
  </si>
  <si>
    <t>12</t>
  </si>
  <si>
    <t>Odkopávky a prokopávky</t>
  </si>
  <si>
    <t>9</t>
  </si>
  <si>
    <t>121101100R00</t>
  </si>
  <si>
    <t>Sejmutí ornice, pl. do 400 m2, přemístění do 50 m</t>
  </si>
  <si>
    <t>m3</t>
  </si>
  <si>
    <t>12_</t>
  </si>
  <si>
    <t>120*0,15</t>
  </si>
  <si>
    <t>10</t>
  </si>
  <si>
    <t>122202201R00</t>
  </si>
  <si>
    <t>Odkopávky pro silnice v hor. 3 do 100 m3</t>
  </si>
  <si>
    <t>40,0*0,30*1/2</t>
  </si>
  <si>
    <t>;pro palisádu; 15,3*0,5*0,5</t>
  </si>
  <si>
    <t>;rozšíření; (4,0+3,0)*0,35</t>
  </si>
  <si>
    <t>122202209R00</t>
  </si>
  <si>
    <t>Příplatek za lepivost - odkop. pro silnice v hor.3</t>
  </si>
  <si>
    <t>17</t>
  </si>
  <si>
    <t>Konstrukce ze zemin</t>
  </si>
  <si>
    <t>171101104R00</t>
  </si>
  <si>
    <t>Uložení sypaniny do násypů zhutněných na 102% PS</t>
  </si>
  <si>
    <t>17_</t>
  </si>
  <si>
    <t>25,0*0,3*1/2+50,0*0,1</t>
  </si>
  <si>
    <t>13</t>
  </si>
  <si>
    <t>174101102R00</t>
  </si>
  <si>
    <t>Zásyp ruční se zhutněním</t>
  </si>
  <si>
    <t>zásyp kolem nových obrubníků</t>
  </si>
  <si>
    <t>(68,5-2,8*3+2,0*2*3+3,0+9,0+5,0)*0,2*0,3</t>
  </si>
  <si>
    <t>18</t>
  </si>
  <si>
    <t>Povrchové úpravy terénu</t>
  </si>
  <si>
    <t>14</t>
  </si>
  <si>
    <t>180402111R00</t>
  </si>
  <si>
    <t>Založení trávníku parkového výsevem v rovině</t>
  </si>
  <si>
    <t>18_</t>
  </si>
  <si>
    <t>15</t>
  </si>
  <si>
    <t>180402113R00</t>
  </si>
  <si>
    <t>Založení trávníku parkového výsevem svah do 1:1</t>
  </si>
  <si>
    <t>16</t>
  </si>
  <si>
    <t>181101102R00</t>
  </si>
  <si>
    <t>Úprava pláně v zářezech v hor. 1-4, se zhutněním</t>
  </si>
  <si>
    <t>(186,7+15,7+7,0+4,7*3+4,0+3,0)*1,05</t>
  </si>
  <si>
    <t>181301102R00</t>
  </si>
  <si>
    <t>Rozprostření ornice, rovina, tl. 10-15 cm,do 500m2</t>
  </si>
  <si>
    <t>182101101R00</t>
  </si>
  <si>
    <t>Svahování v zářezech v hor. 1 - 4</t>
  </si>
  <si>
    <t>85,0*1,2</t>
  </si>
  <si>
    <t>19</t>
  </si>
  <si>
    <t>182301122R00</t>
  </si>
  <si>
    <t>Rozprostření ornice, svah, tl. 10-15 cm, do 500 m2</t>
  </si>
  <si>
    <t>33</t>
  </si>
  <si>
    <t>Sloupy a pilíře, stožáry a rámové stojky</t>
  </si>
  <si>
    <t>20</t>
  </si>
  <si>
    <t>338920011R00</t>
  </si>
  <si>
    <t>Osazení kamenné palisády, š. do 11 cm, dl. 60 cm</t>
  </si>
  <si>
    <t>33_</t>
  </si>
  <si>
    <t>113.1_3_</t>
  </si>
  <si>
    <t>z kamenných krajníků</t>
  </si>
  <si>
    <t>56</t>
  </si>
  <si>
    <t>Podkladní vrstvy komunikací a zpevněných ploch</t>
  </si>
  <si>
    <t>564113505R00</t>
  </si>
  <si>
    <t>Podklad z asf.recyklátu fr. 0-32 po zhutn.tl.5 cm</t>
  </si>
  <si>
    <t>56_</t>
  </si>
  <si>
    <t>113.1_5_</t>
  </si>
  <si>
    <t>doplnění vozovky - 2x vrstva</t>
  </si>
  <si>
    <t>(4,0+3,0)*2</t>
  </si>
  <si>
    <t>Poznámka:</t>
  </si>
  <si>
    <t>materiál bude dodán investorem z jeho skladových zásob - skládka Pístov do 5 km</t>
  </si>
  <si>
    <t>22</t>
  </si>
  <si>
    <t>564721111R00</t>
  </si>
  <si>
    <t>Podklad z kameniva drceného vel.16-32 mm,tl. 8 cm</t>
  </si>
  <si>
    <t>podklad lože pod siln. a chod. obrubníky</t>
  </si>
  <si>
    <t>(135,0+55,25+15,0+18,0)*0,5</t>
  </si>
  <si>
    <t>23</t>
  </si>
  <si>
    <t>564801112RT2</t>
  </si>
  <si>
    <t>Podklad ze štěrkodrti po zhutnění tloušťky 4 cm</t>
  </si>
  <si>
    <t>štěrkodrť frakce 0-32 mm</t>
  </si>
  <si>
    <t>4,7*3+7,0</t>
  </si>
  <si>
    <t>24</t>
  </si>
  <si>
    <t>564861111RT2</t>
  </si>
  <si>
    <t>Podklad ze štěrkodrti po zhutnění tloušťky 20 cm</t>
  </si>
  <si>
    <t>vchody + rozš. vozovky</t>
  </si>
  <si>
    <t>4,0+3,0</t>
  </si>
  <si>
    <t>25</t>
  </si>
  <si>
    <t>564871111R00</t>
  </si>
  <si>
    <t>Podklad ze štěrkodrti po zhutnění tloušťky 25 cm</t>
  </si>
  <si>
    <t>186,7+15,7</t>
  </si>
  <si>
    <t>57</t>
  </si>
  <si>
    <t>Kryty pozemních komunikací, letišť a ploch z kameniva nebo živičné</t>
  </si>
  <si>
    <t>26</t>
  </si>
  <si>
    <t>573211112R00</t>
  </si>
  <si>
    <t>Postřik živičný spojovací z modif. asfaltu 0,3 kg/m2</t>
  </si>
  <si>
    <t>RTS I / 2022</t>
  </si>
  <si>
    <t>57_</t>
  </si>
  <si>
    <t>27</t>
  </si>
  <si>
    <t>577142112RT2</t>
  </si>
  <si>
    <t>Beton asfaltový ACO 11+, ACO 16+, nad 3 m, tl.5 cm</t>
  </si>
  <si>
    <t>plochy 201-1000 m2</t>
  </si>
  <si>
    <t>59</t>
  </si>
  <si>
    <t>Kryty pozemních komunikací, letišť a ploch dlážděných (předlažby)</t>
  </si>
  <si>
    <t>28</t>
  </si>
  <si>
    <t>596215021R00</t>
  </si>
  <si>
    <t>Kladení zámkové dlažby tl. 6 cm do drtě tl. 4 cm</t>
  </si>
  <si>
    <t>59_</t>
  </si>
  <si>
    <t>3,7*3</t>
  </si>
  <si>
    <t>29</t>
  </si>
  <si>
    <t>596215040R00</t>
  </si>
  <si>
    <t>Kladení zámkové dlažby tl. 8 cm do drtě tl. 4 cm</t>
  </si>
  <si>
    <t>30</t>
  </si>
  <si>
    <t>596291111R00</t>
  </si>
  <si>
    <t>Řezání zámkové dlažby tl. 60 mm</t>
  </si>
  <si>
    <t>31</t>
  </si>
  <si>
    <t>596291113R00</t>
  </si>
  <si>
    <t>Řezání zámkové dlažby tl. 80 mm</t>
  </si>
  <si>
    <t>32</t>
  </si>
  <si>
    <t>596715021R00</t>
  </si>
  <si>
    <t>Kladení vodicí linie z dlažby tl.6 cm, drť tl.4 cm</t>
  </si>
  <si>
    <t>3*1,0+1,5</t>
  </si>
  <si>
    <t>596811111R00</t>
  </si>
  <si>
    <t>Kladení dlaždic kom.pro pěší, lože z kameniva těž.</t>
  </si>
  <si>
    <t>34</t>
  </si>
  <si>
    <t>596921191R00</t>
  </si>
  <si>
    <t>Příplatek za výplň otvorů vegetačních tvárnic betonových, bez dodávky výplňového materiálu</t>
  </si>
  <si>
    <t>186,7*0,016</t>
  </si>
  <si>
    <t>89</t>
  </si>
  <si>
    <t>Ostatní konstrukce a práce na trubním vedení</t>
  </si>
  <si>
    <t>35</t>
  </si>
  <si>
    <t>899231111R00</t>
  </si>
  <si>
    <t>Výšková úprava vstupu do 20 cm, zvýšení mříže</t>
  </si>
  <si>
    <t>kus</t>
  </si>
  <si>
    <t>89_</t>
  </si>
  <si>
    <t>113.1_8_</t>
  </si>
  <si>
    <t>36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</si>
  <si>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</si>
  <si>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</si>
  <si>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</si>
  <si>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</si>
  <si>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37</t>
  </si>
  <si>
    <t>916561111R00</t>
  </si>
  <si>
    <t>Osazení záhon.obrubníků do lože z C 12/15 s opěrou</t>
  </si>
  <si>
    <t>91_</t>
  </si>
  <si>
    <t>113.1_9_</t>
  </si>
  <si>
    <t>2,0*2*3+3,0+3,0</t>
  </si>
  <si>
    <t>38</t>
  </si>
  <si>
    <t>917461111R00</t>
  </si>
  <si>
    <t>Osaz. stoj. obrub. kam. s opěrou, lože z C 16/20 Nxf1</t>
  </si>
  <si>
    <t>66,0+52,0+11,0+6,0</t>
  </si>
  <si>
    <t>;s kostkami; 9,0+36,2+10,0</t>
  </si>
  <si>
    <t>u zelené plochy střídání kamenných krajníků a dvojice kostek pro odvod vody</t>
  </si>
  <si>
    <t>39</t>
  </si>
  <si>
    <t>938908411R00</t>
  </si>
  <si>
    <t>Očištění povrchu krytu saponátovým roztokem</t>
  </si>
  <si>
    <t>40</t>
  </si>
  <si>
    <t>979024441R00</t>
  </si>
  <si>
    <t>Očištění vybour. obrubníků všech loží a výplní</t>
  </si>
  <si>
    <t>150,5-2,5*3</t>
  </si>
  <si>
    <t>41</t>
  </si>
  <si>
    <t>979054441R00</t>
  </si>
  <si>
    <t>Očištění vybour. dlaždic s výplní kamen. těženým</t>
  </si>
  <si>
    <t>H22</t>
  </si>
  <si>
    <t>Komunikace pozemní a letiště</t>
  </si>
  <si>
    <t>42</t>
  </si>
  <si>
    <t>998223011R00</t>
  </si>
  <si>
    <t>Přesun hmot, pozemní komunikace, kryt dlážděný</t>
  </si>
  <si>
    <t>t</t>
  </si>
  <si>
    <t>H22_</t>
  </si>
  <si>
    <t>514,8-212,0</t>
  </si>
  <si>
    <t>S</t>
  </si>
  <si>
    <t>Přesuny sutí</t>
  </si>
  <si>
    <t>43</t>
  </si>
  <si>
    <t>979081111R00</t>
  </si>
  <si>
    <t>Odvoz suti a vybour. hmot na skládku do 1 km</t>
  </si>
  <si>
    <t>S_</t>
  </si>
  <si>
    <t>221,3-9,3</t>
  </si>
  <si>
    <t>44</t>
  </si>
  <si>
    <t>979081121R00</t>
  </si>
  <si>
    <t>Příplatek k odvozu za každý další 1 km</t>
  </si>
  <si>
    <t>212,0*9</t>
  </si>
  <si>
    <t>odvoz suti do 10 km - k recyklaci</t>
  </si>
  <si>
    <t>45</t>
  </si>
  <si>
    <t>979084216R00</t>
  </si>
  <si>
    <t>Vodorovná doprava vybour. hmot po suchu do 5 km</t>
  </si>
  <si>
    <t>4,9+0,4</t>
  </si>
  <si>
    <t>dovoz kamenných krajníků a kostek ze skladu investora</t>
  </si>
  <si>
    <t>46</t>
  </si>
  <si>
    <t>979084219R00</t>
  </si>
  <si>
    <t>Příplatek k dopravě vybour.hmot za dalších 5 km</t>
  </si>
  <si>
    <t>47</t>
  </si>
  <si>
    <t>979086213R00</t>
  </si>
  <si>
    <t>Nakládání vybouraných hmot na dopravní prostředek</t>
  </si>
  <si>
    <t>kam. krajníky a kostky ve skladu investora</t>
  </si>
  <si>
    <t>48</t>
  </si>
  <si>
    <t>979999999R00</t>
  </si>
  <si>
    <t>Poplatek za recyklaci suti - beton, živice, štěrk</t>
  </si>
  <si>
    <t>M</t>
  </si>
  <si>
    <t>Ostatní materiál</t>
  </si>
  <si>
    <t>49</t>
  </si>
  <si>
    <t>00572420</t>
  </si>
  <si>
    <t>Směs travní parková III. dekorativní PROFI</t>
  </si>
  <si>
    <t>kg</t>
  </si>
  <si>
    <t>0</t>
  </si>
  <si>
    <t>Z99999_</t>
  </si>
  <si>
    <t>113.1_Z_</t>
  </si>
  <si>
    <t>120,0*0,03</t>
  </si>
  <si>
    <t>50</t>
  </si>
  <si>
    <t>583424402</t>
  </si>
  <si>
    <t>Kamenivo drcené 2/4 - výplň spár</t>
  </si>
  <si>
    <t>3,0*2,3</t>
  </si>
  <si>
    <t>51</t>
  </si>
  <si>
    <t>58380129</t>
  </si>
  <si>
    <t>Kostka dlažební žulová štípaná, drobná 100 až 120 mm, třída I</t>
  </si>
  <si>
    <t>1,4/4</t>
  </si>
  <si>
    <t>;ztratné 2%; 0,007</t>
  </si>
  <si>
    <t>materiál bude dodán investorem z jeho skladových zásob,
položku ocenit nulovou cenou!!</t>
  </si>
  <si>
    <t>52</t>
  </si>
  <si>
    <t>58380211</t>
  </si>
  <si>
    <t>Krajník silniční KS 3, rozměr 130 x 200 x 300 až 800 mm</t>
  </si>
  <si>
    <t>,</t>
  </si>
  <si>
    <t>135,0+56,0-11,0+38,0</t>
  </si>
  <si>
    <t>;ztratné 5%; 10,9</t>
  </si>
  <si>
    <t>materiál na doplnění bude dodán investorem z jeho skladových zásob,
položku ocenit nulovou cenou!!</t>
  </si>
  <si>
    <t>53</t>
  </si>
  <si>
    <t>59217331</t>
  </si>
  <si>
    <t>Obrubník zahradní ABO 12-20 v. 200 x 50 x 1000 mm přírodní</t>
  </si>
  <si>
    <t>18,0</t>
  </si>
  <si>
    <t>;ztratné 2%; 0,36</t>
  </si>
  <si>
    <t>54</t>
  </si>
  <si>
    <t>592452655</t>
  </si>
  <si>
    <t>Dlažba betonová standard přírodní 200 x 100 x 80 mm</t>
  </si>
  <si>
    <t>15,7</t>
  </si>
  <si>
    <t>;ztratné 10%; 1,57</t>
  </si>
  <si>
    <t>55</t>
  </si>
  <si>
    <t>59245304</t>
  </si>
  <si>
    <t>Dlažba Íčko betonová přírodní 200 x 165 x 60 mm</t>
  </si>
  <si>
    <t>1,0</t>
  </si>
  <si>
    <t>;ztratné 10%; 0,1</t>
  </si>
  <si>
    <t>rezerva</t>
  </si>
  <si>
    <t>592453041</t>
  </si>
  <si>
    <t>Dlažba Íčko červená pro nevidomé 200 x 165 x 60 mm</t>
  </si>
  <si>
    <t>4,5</t>
  </si>
  <si>
    <t>;ztratné 10%; 0,45</t>
  </si>
  <si>
    <t>dlažba s reliéfním povrchem pro nevidomé a slabozraké k vytvoření signálních a varovných pásů na chodnících, pro přechody a na nástupištích MHD  vhodná pro ryze pochozí plochy</t>
  </si>
  <si>
    <t>592453320</t>
  </si>
  <si>
    <t>Dlaždice betonová 300 x 300 x 40 mm hladká standard šedá</t>
  </si>
  <si>
    <t>6,0</t>
  </si>
  <si>
    <t>;ztratné 5%; 0,3</t>
  </si>
  <si>
    <t>58</t>
  </si>
  <si>
    <t>59248130</t>
  </si>
  <si>
    <t>Dlažba vegetační  24/24/8 II nat - 17,6 ks/m2</t>
  </si>
  <si>
    <t>186,7*17,6</t>
  </si>
  <si>
    <t>;ztratné 5%; 164,296</t>
  </si>
  <si>
    <t>402</t>
  </si>
  <si>
    <t>Obnova kabelů a stožárů VO u BD U Hřbitova 30-34</t>
  </si>
  <si>
    <t>90</t>
  </si>
  <si>
    <t>Hodinové zúčtovací sazby (HZS)</t>
  </si>
  <si>
    <t>900      R24</t>
  </si>
  <si>
    <t>HZS</t>
  </si>
  <si>
    <t>h</t>
  </si>
  <si>
    <t>90_</t>
  </si>
  <si>
    <t>402_9_</t>
  </si>
  <si>
    <t>402_</t>
  </si>
  <si>
    <t>elektromontér v tarifní třídě 7</t>
  </si>
  <si>
    <t>Připojení nového vedení na stávající rozvody VO</t>
  </si>
  <si>
    <t>60</t>
  </si>
  <si>
    <t>904      R00</t>
  </si>
  <si>
    <t>HZS - zkousky v ramci montaz.praci</t>
  </si>
  <si>
    <t>PROVEDENI REVIZNICH ZKOUSEK DLE CSN 33 2000-6 ed.2
Revizni technik - výchozí revize, vypracování revizní zprávy</t>
  </si>
  <si>
    <t>M21</t>
  </si>
  <si>
    <t>Elektromontáže</t>
  </si>
  <si>
    <t>61</t>
  </si>
  <si>
    <t>210 0004</t>
  </si>
  <si>
    <t>Demontáž sadového stožáru vč. svítidla a základu</t>
  </si>
  <si>
    <t>M21_</t>
  </si>
  <si>
    <t>62</t>
  </si>
  <si>
    <t>210100259R00</t>
  </si>
  <si>
    <t>Ukončení celoplast. Cu kabelů do 5x10 mm2</t>
  </si>
  <si>
    <t>63</t>
  </si>
  <si>
    <t>210120001R00</t>
  </si>
  <si>
    <t>Pojistka závitová do 500V E 27 do 25A</t>
  </si>
  <si>
    <t>E27 6A, chr. norm., PNA000 16A gG Pojistková vložka</t>
  </si>
  <si>
    <t>64</t>
  </si>
  <si>
    <t>210202115R00</t>
  </si>
  <si>
    <t>Svítidlo veřejného osvětlení sadové vč. dodávky</t>
  </si>
  <si>
    <t>3+3</t>
  </si>
  <si>
    <t>65</t>
  </si>
  <si>
    <t>210204002RT1</t>
  </si>
  <si>
    <t>Stožár osvětlovací sadový bezpaticový - ocelový, žár. zinkovaný</t>
  </si>
  <si>
    <t>2x odstupňovaný sadový stožár výšky 5,0 m,
zemní část s termoplastickým povlakem</t>
  </si>
  <si>
    <t>66</t>
  </si>
  <si>
    <t>210204201R00</t>
  </si>
  <si>
    <t>Elektrovýzbroj stožáru pro 1 okruh</t>
  </si>
  <si>
    <t>67</t>
  </si>
  <si>
    <t>210800527RT1</t>
  </si>
  <si>
    <t>Vodič H07V-U (CY) 6 mm2 uložený volně</t>
  </si>
  <si>
    <t>včetně dodávky vodiče CY 6</t>
  </si>
  <si>
    <t>68</t>
  </si>
  <si>
    <t>210810015RT1</t>
  </si>
  <si>
    <t>Kabel CYKY-m 750 V 5 x 1,5 mm2 volně uložený</t>
  </si>
  <si>
    <t>včetně dodávky kabelu CYKY-J 5x1,5 mm2</t>
  </si>
  <si>
    <t>6*5,0</t>
  </si>
  <si>
    <t>69</t>
  </si>
  <si>
    <t>210810017RT3</t>
  </si>
  <si>
    <t>Kabel CYKY-m 750 V 5 žil,4 až 25 mm2,volně uložený</t>
  </si>
  <si>
    <t>(101+80)*1,05</t>
  </si>
  <si>
    <t>M23</t>
  </si>
  <si>
    <t>Montáže potrubí</t>
  </si>
  <si>
    <t>70</t>
  </si>
  <si>
    <t>230191008R00</t>
  </si>
  <si>
    <t>Uložení chráničky ve výkopu PE 63 mm</t>
  </si>
  <si>
    <t>M23_</t>
  </si>
  <si>
    <t>101+80</t>
  </si>
  <si>
    <t>M46</t>
  </si>
  <si>
    <t>Zemní práce při montážích</t>
  </si>
  <si>
    <t>71</t>
  </si>
  <si>
    <t>199000002R00</t>
  </si>
  <si>
    <t>Poplatek za skládku horniny tř. 1- 4</t>
  </si>
  <si>
    <t>M46_</t>
  </si>
  <si>
    <t>72</t>
  </si>
  <si>
    <t>460010024RT1</t>
  </si>
  <si>
    <t>Vytýčení kabelové trasy v zastavěném prostoru</t>
  </si>
  <si>
    <t>km</t>
  </si>
  <si>
    <t>délka trasy do 100 m</t>
  </si>
  <si>
    <t>73</t>
  </si>
  <si>
    <t>460030011R00</t>
  </si>
  <si>
    <t>Sejmutí drnu</t>
  </si>
  <si>
    <t>nářez drnu, naložení, odvoz</t>
  </si>
  <si>
    <t>181,0*0,35</t>
  </si>
  <si>
    <t>74</t>
  </si>
  <si>
    <t>460050004RT1</t>
  </si>
  <si>
    <t>Jáma pro stožár J nepatk. do 8 m, v rovině, hor. 4</t>
  </si>
  <si>
    <t>ruční výkop jámy</t>
  </si>
  <si>
    <t>75</t>
  </si>
  <si>
    <t>460080001R00</t>
  </si>
  <si>
    <t>Betonový základ do zeminy bez bednění</t>
  </si>
  <si>
    <t>6*0,65</t>
  </si>
  <si>
    <t>76</t>
  </si>
  <si>
    <t>460100023RT1</t>
  </si>
  <si>
    <t>Pouzdrový základ 300x1500 mm v ose trasy kab.</t>
  </si>
  <si>
    <t>kompletní zhot.pouzdrového základu</t>
  </si>
  <si>
    <t>77</t>
  </si>
  <si>
    <t>460200164R00</t>
  </si>
  <si>
    <t>Výkop kabelové rýhy 35/80 cm  hor.4</t>
  </si>
  <si>
    <t>78</t>
  </si>
  <si>
    <t>460420018RT1</t>
  </si>
  <si>
    <t>Zřízení kabelového lože v rýze š.do 35 cm z písku</t>
  </si>
  <si>
    <t>tloušťka vrstvy 15 cm</t>
  </si>
  <si>
    <t>79</t>
  </si>
  <si>
    <t>460490012R00</t>
  </si>
  <si>
    <t>Fólie výstražná z PVC, šířka 33 cm</t>
  </si>
  <si>
    <t>80</t>
  </si>
  <si>
    <t>460510281RZ2</t>
  </si>
  <si>
    <t>Kabelová trasa - demontáž</t>
  </si>
  <si>
    <t>demontáž trasy - do suti</t>
  </si>
  <si>
    <t>81</t>
  </si>
  <si>
    <t>460560164RT1</t>
  </si>
  <si>
    <t>Zához rýhy 35/80 cm, hornina třídy 4</t>
  </si>
  <si>
    <t>ruční zához rýhy</t>
  </si>
  <si>
    <t>82</t>
  </si>
  <si>
    <t>460600001RT8</t>
  </si>
  <si>
    <t>Naložení a odvoz zeminy</t>
  </si>
  <si>
    <t>odvoz na vzdálenost 10000 m</t>
  </si>
  <si>
    <t>181*0,35*0,15+6*0,5</t>
  </si>
  <si>
    <t>83</t>
  </si>
  <si>
    <t>460620001RT1</t>
  </si>
  <si>
    <t>Položení drnu</t>
  </si>
  <si>
    <t>ruční položení drnu, kropení</t>
  </si>
  <si>
    <t>84</t>
  </si>
  <si>
    <t>460620006RT1</t>
  </si>
  <si>
    <t>Osetí povrchu trávou</t>
  </si>
  <si>
    <t>včetně dodávky osiva</t>
  </si>
  <si>
    <t>181*0,5</t>
  </si>
  <si>
    <t>85</t>
  </si>
  <si>
    <t>460620014RT1</t>
  </si>
  <si>
    <t>Provizorní úprava terénu v přírodní hornině 4</t>
  </si>
  <si>
    <t>ruční vyrovnání a zhutnění</t>
  </si>
  <si>
    <t>M65</t>
  </si>
  <si>
    <t>Elektroinstalace</t>
  </si>
  <si>
    <t>86</t>
  </si>
  <si>
    <t>650041217R00</t>
  </si>
  <si>
    <t>Montáž a dodávka svorkovnice řadové pro vodič do 16 mm2</t>
  </si>
  <si>
    <t>M65_</t>
  </si>
  <si>
    <t>jednopojistková</t>
  </si>
  <si>
    <t>87</t>
  </si>
  <si>
    <t>650111141RT2</t>
  </si>
  <si>
    <t>Uložení uzem. pásku v zemi do 120 mm2</t>
  </si>
  <si>
    <t>včetně dodávky pásku FeZn 30 x 4 mm</t>
  </si>
  <si>
    <t>88</t>
  </si>
  <si>
    <t>650111146RT2</t>
  </si>
  <si>
    <t>Uložení uzem. drátu v zemi FeZn do 10 mm</t>
  </si>
  <si>
    <t>včetně dodávky drátu FeZn 10 mm</t>
  </si>
  <si>
    <t>6*3,0</t>
  </si>
  <si>
    <t>650111711RT5</t>
  </si>
  <si>
    <t>Montáž hromosvodové svorky do 2 šroubů</t>
  </si>
  <si>
    <t>včetně dodávky svorky SR 3a</t>
  </si>
  <si>
    <t>650111713RT2</t>
  </si>
  <si>
    <t>Montáž hromosvodové svorky nad 2 šrouby</t>
  </si>
  <si>
    <t>včetně dodávky svorky SR 2a</t>
  </si>
  <si>
    <t>650111713RT7</t>
  </si>
  <si>
    <t>včetně dodávky svorky SP01</t>
  </si>
  <si>
    <t>92</t>
  </si>
  <si>
    <t>650111781RT2</t>
  </si>
  <si>
    <t>Označení svodu štítkem</t>
  </si>
  <si>
    <t>včetně dodávky štítku</t>
  </si>
  <si>
    <t>M999VD</t>
  </si>
  <si>
    <t>Montážní práce</t>
  </si>
  <si>
    <t>93</t>
  </si>
  <si>
    <t>999100</t>
  </si>
  <si>
    <t>Pronájem jeřábu do 35 t</t>
  </si>
  <si>
    <t>hod</t>
  </si>
  <si>
    <t>M999VD_</t>
  </si>
  <si>
    <t>montáž stožáru 2hod/kus</t>
  </si>
  <si>
    <t>94</t>
  </si>
  <si>
    <t>999102</t>
  </si>
  <si>
    <t>Přistavení jeřábu na stavbu</t>
  </si>
  <si>
    <t>95</t>
  </si>
  <si>
    <t>999104</t>
  </si>
  <si>
    <t>Vysokozdvižná plošina pronájem</t>
  </si>
  <si>
    <t>vysokozdvižná plošina - montáž svítidla na stožár - 1 h/ks</t>
  </si>
  <si>
    <t>96</t>
  </si>
  <si>
    <t>999106</t>
  </si>
  <si>
    <t>Přistavení vysokozdv. plošiny na stavbu</t>
  </si>
  <si>
    <t>97</t>
  </si>
  <si>
    <t>999108</t>
  </si>
  <si>
    <t>Zkušební provoz</t>
  </si>
  <si>
    <t xml:space="preserve"> Zkušební provoz - provozní zkouška osvětlení po kompletaci, měření osvětlení, protokol o měření</t>
  </si>
  <si>
    <t>98</t>
  </si>
  <si>
    <t>3457114702</t>
  </si>
  <si>
    <t>Trubka kabelová chránička HDPE 63 mm dvoupl.</t>
  </si>
  <si>
    <t>402_Z_</t>
  </si>
  <si>
    <t>181</t>
  </si>
  <si>
    <t>;ztratné 5%; 9,05</t>
  </si>
  <si>
    <t>VORN</t>
  </si>
  <si>
    <t>Vedlejší a ostatní rozpočtové náklady</t>
  </si>
  <si>
    <t>010VD</t>
  </si>
  <si>
    <t>Vedlejší rozpočtové náklady</t>
  </si>
  <si>
    <t>99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</si>
  <si>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</si>
  <si>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</si>
  <si>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</si>
  <si>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</si>
  <si>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</si>
  <si>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</si>
  <si>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</si>
  <si>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100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</si>
  <si>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</si>
  <si>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</si>
  <si>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101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</si>
  <si>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</si>
  <si>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</si>
  <si>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102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</si>
  <si>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</si>
  <si>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</si>
  <si>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103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</si>
  <si>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</si>
  <si>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</si>
  <si>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104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</si>
  <si>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</si>
  <si>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</si>
  <si>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105</t>
  </si>
  <si>
    <t>Náklady na projednání záborů</t>
  </si>
  <si>
    <t>Náklady na projednání a zajištění záborů všech ploch potřebných k realizaci stavby, včetně případných poplatků za pronájem ploch.</t>
  </si>
  <si>
    <t>106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</si>
  <si>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</si>
  <si>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</si>
  <si>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107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</si>
  <si>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</si>
  <si>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</si>
  <si>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108</t>
  </si>
  <si>
    <t>200 00-01</t>
  </si>
  <si>
    <t>Geometrický plán stavby</t>
  </si>
  <si>
    <t xml:space="preserve">Geometrický plán stavby pro vložení do katastru nemovitostí, zhotovený oprávněnou osobou.
</t>
  </si>
  <si>
    <t>109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</si>
  <si>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</si>
  <si>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</si>
  <si>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110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</si>
  <si>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</si>
  <si>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</si>
  <si>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</si>
  <si>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</si>
  <si>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111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</si>
  <si>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</si>
  <si>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</si>
  <si>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</si>
  <si>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</si>
  <si>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</si>
  <si>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</si>
  <si>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</si>
  <si>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</si>
  <si>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</si>
  <si>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</si>
  <si>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</si>
  <si>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</si>
  <si>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</si>
  <si>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</si>
  <si>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</si>
  <si>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</si>
  <si>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</si>
  <si>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</si>
  <si>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</si>
  <si>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</si>
  <si>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</si>
  <si>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</si>
  <si>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</si>
  <si>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</si>
  <si>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</si>
  <si>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</si>
  <si>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</si>
  <si>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</si>
  <si>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</si>
  <si>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</si>
  <si>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</si>
  <si>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</si>
  <si>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</si>
  <si>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</si>
  <si>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</si>
  <si>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</si>
  <si>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</si>
  <si>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</si>
  <si>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</si>
  <si>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</si>
  <si>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</si>
  <si>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</si>
  <si>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</si>
  <si>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</si>
  <si>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</si>
  <si>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</si>
  <si>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</si>
  <si>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</si>
  <si>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</si>
  <si>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</si>
  <si>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</si>
  <si>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</si>
  <si>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</si>
  <si>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</si>
  <si>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</si>
  <si>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</si>
  <si>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</si>
  <si>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</si>
  <si>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</si>
  <si>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</si>
  <si>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</si>
  <si>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</si>
  <si>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</si>
  <si>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</si>
  <si>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</si>
  <si>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bez dodávky svítidla - bude dodáno ze skaldových zásob investora</t>
  </si>
  <si>
    <t>bez dodávky stožáru - bude dodán ze skaldových zábo investora</t>
  </si>
  <si>
    <t>bez dodávky kabelu - bude dodán ze skaldových zásob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</si>
</sst>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00FF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6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82"/>
  <sheetViews>
    <sheetView workbookViewId="0">
      <pane ySplit="11" topLeftCell="A93" activePane="bottomLeft" state="frozen"/>
      <selection pane="bottomLeft" activeCell="D119" sqref="D119:E119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35.84375" customWidth="1"/>
    <col min="5" max="5" width="35.6914062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71.53515625" hidden="1" customWidth="1"/>
    <col min="77" max="78" width="12.15234375" hidden="1"/>
  </cols>
  <sheetData>
    <row r="1" spans="1:76" ht="54.75" customHeight="1" x14ac:dyDescent="0.4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115" t="s">
        <v>1</v>
      </c>
      <c r="B2" s="107"/>
      <c r="C2" s="107"/>
      <c r="D2" s="119" t="s">
        <v>2</v>
      </c>
      <c r="E2" s="120"/>
      <c r="F2" s="107" t="s">
        <v>3</v>
      </c>
      <c r="G2" s="107"/>
      <c r="H2" s="107" t="s">
        <v>4</v>
      </c>
      <c r="I2" s="106" t="s">
        <v>5</v>
      </c>
      <c r="J2" s="106" t="s">
        <v>6</v>
      </c>
      <c r="K2" s="107"/>
      <c r="L2" s="107"/>
      <c r="M2" s="107"/>
      <c r="N2" s="107"/>
      <c r="O2" s="107"/>
      <c r="P2" s="108"/>
    </row>
    <row r="3" spans="1:76" ht="14.6" x14ac:dyDescent="0.4">
      <c r="A3" s="116"/>
      <c r="B3" s="84"/>
      <c r="C3" s="84"/>
      <c r="D3" s="121"/>
      <c r="E3" s="121"/>
      <c r="F3" s="84"/>
      <c r="G3" s="84"/>
      <c r="H3" s="84"/>
      <c r="I3" s="84"/>
      <c r="J3" s="84"/>
      <c r="K3" s="84"/>
      <c r="L3" s="84"/>
      <c r="M3" s="84"/>
      <c r="N3" s="84"/>
      <c r="O3" s="84"/>
      <c r="P3" s="109"/>
    </row>
    <row r="4" spans="1:76" ht="14.6" x14ac:dyDescent="0.4">
      <c r="A4" s="117" t="s">
        <v>7</v>
      </c>
      <c r="B4" s="84"/>
      <c r="C4" s="84"/>
      <c r="D4" s="83" t="s">
        <v>8</v>
      </c>
      <c r="E4" s="84"/>
      <c r="F4" s="84" t="s">
        <v>9</v>
      </c>
      <c r="G4" s="84"/>
      <c r="H4" s="84" t="s">
        <v>4</v>
      </c>
      <c r="I4" s="83" t="s">
        <v>10</v>
      </c>
      <c r="J4" s="84" t="s">
        <v>11</v>
      </c>
      <c r="K4" s="84"/>
      <c r="L4" s="84"/>
      <c r="M4" s="84"/>
      <c r="N4" s="84"/>
      <c r="O4" s="84"/>
      <c r="P4" s="109"/>
    </row>
    <row r="5" spans="1:76" ht="14.6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109"/>
    </row>
    <row r="6" spans="1:76" ht="14.6" x14ac:dyDescent="0.4">
      <c r="A6" s="117" t="s">
        <v>12</v>
      </c>
      <c r="B6" s="84"/>
      <c r="C6" s="84"/>
      <c r="D6" s="83" t="s">
        <v>13</v>
      </c>
      <c r="E6" s="84"/>
      <c r="F6" s="84" t="s">
        <v>14</v>
      </c>
      <c r="G6" s="84"/>
      <c r="H6" s="84" t="s">
        <v>4</v>
      </c>
      <c r="I6" s="83" t="s">
        <v>15</v>
      </c>
      <c r="J6" s="83" t="s">
        <v>16</v>
      </c>
      <c r="K6" s="84"/>
      <c r="L6" s="84"/>
      <c r="M6" s="84"/>
      <c r="N6" s="84"/>
      <c r="O6" s="84"/>
      <c r="P6" s="109"/>
    </row>
    <row r="7" spans="1:76" ht="14.6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109"/>
    </row>
    <row r="8" spans="1:76" ht="14.6" x14ac:dyDescent="0.4">
      <c r="A8" s="117" t="s">
        <v>17</v>
      </c>
      <c r="B8" s="84"/>
      <c r="C8" s="84"/>
      <c r="D8" s="83" t="s">
        <v>4</v>
      </c>
      <c r="E8" s="84"/>
      <c r="F8" s="84" t="s">
        <v>18</v>
      </c>
      <c r="G8" s="84"/>
      <c r="H8" s="84" t="s">
        <v>19</v>
      </c>
      <c r="I8" s="83" t="s">
        <v>20</v>
      </c>
      <c r="J8" s="83" t="s">
        <v>21</v>
      </c>
      <c r="K8" s="84"/>
      <c r="L8" s="84"/>
      <c r="M8" s="84"/>
      <c r="N8" s="84"/>
      <c r="O8" s="84"/>
      <c r="P8" s="109"/>
    </row>
    <row r="9" spans="1:7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1"/>
    </row>
    <row r="10" spans="1:76" ht="14.6" x14ac:dyDescent="0.4">
      <c r="A10" s="5" t="s">
        <v>22</v>
      </c>
      <c r="B10" s="6" t="s">
        <v>23</v>
      </c>
      <c r="C10" s="6" t="s">
        <v>24</v>
      </c>
      <c r="D10" s="112" t="s">
        <v>25</v>
      </c>
      <c r="E10" s="113"/>
      <c r="F10" s="6" t="s">
        <v>26</v>
      </c>
      <c r="G10" s="7" t="s">
        <v>27</v>
      </c>
      <c r="H10" s="8" t="s">
        <v>28</v>
      </c>
      <c r="I10" s="9" t="s">
        <v>29</v>
      </c>
      <c r="J10" s="99" t="s">
        <v>30</v>
      </c>
      <c r="K10" s="100"/>
      <c r="L10" s="101"/>
      <c r="M10" s="10" t="s">
        <v>30</v>
      </c>
      <c r="N10" s="102" t="s">
        <v>31</v>
      </c>
      <c r="O10" s="103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97" t="s">
        <v>36</v>
      </c>
      <c r="E11" s="98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4" t="s">
        <v>58</v>
      </c>
      <c r="E12" s="105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J13+J33+J41+J47+J56+J59+J75+J79+J92+J95+J107+J110+J123</f>
        <v>0</v>
      </c>
      <c r="K12" s="28">
        <f>K13+K33+K41+K47+K56+K59+K75+K79+K92+K95+K107+K110+K123</f>
        <v>0</v>
      </c>
      <c r="L12" s="28">
        <f>L13+L33+L41+L47+L56+L59+L75+L79+L92+L95+L107+L110+L123</f>
        <v>0</v>
      </c>
      <c r="M12" s="28">
        <f>M13+M33+M41+M47+M56+M59+M75+M79+M92+M95+M107+M110+M123</f>
        <v>0</v>
      </c>
      <c r="N12" s="29" t="s">
        <v>56</v>
      </c>
      <c r="O12" s="28">
        <f>O13+O33+O41+O47+O56+O59+O75+O79+O92+O95+O107+O110+O123</f>
        <v>514.80496799999992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92" t="s">
        <v>60</v>
      </c>
      <c r="E13" s="93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SUM(J14:J30)</f>
        <v>0</v>
      </c>
      <c r="K13" s="1">
        <f>SUM(K14:K30)</f>
        <v>0</v>
      </c>
      <c r="L13" s="1">
        <f>SUM(L14:L30)</f>
        <v>0</v>
      </c>
      <c r="M13" s="1">
        <f>SUM(M14:M30)</f>
        <v>0</v>
      </c>
      <c r="N13" s="12" t="s">
        <v>56</v>
      </c>
      <c r="O13" s="1">
        <f>SUM(O14:O30)</f>
        <v>221.30150000000003</v>
      </c>
      <c r="P13" s="34" t="s">
        <v>56</v>
      </c>
      <c r="AI13" s="12" t="s">
        <v>57</v>
      </c>
      <c r="AS13" s="1">
        <f>SUM(AJ14:AJ30)</f>
        <v>0</v>
      </c>
      <c r="AT13" s="1">
        <f>SUM(AK14:AK30)</f>
        <v>0</v>
      </c>
      <c r="AU13" s="1">
        <f>SUM(AL14:AL30)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83" t="s">
        <v>63</v>
      </c>
      <c r="E14" s="84"/>
      <c r="F14" s="3" t="s">
        <v>64</v>
      </c>
      <c r="G14" s="35">
        <v>7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0.13800000000000001</v>
      </c>
      <c r="O14" s="35">
        <f>G14*N14</f>
        <v>0.96600000000000008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0.96600000000000008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2" t="s">
        <v>70</v>
      </c>
      <c r="B15" s="3" t="s">
        <v>57</v>
      </c>
      <c r="C15" s="3" t="s">
        <v>71</v>
      </c>
      <c r="D15" s="83" t="s">
        <v>72</v>
      </c>
      <c r="E15" s="84"/>
      <c r="F15" s="3" t="s">
        <v>64</v>
      </c>
      <c r="G15" s="35">
        <v>14.1</v>
      </c>
      <c r="H15" s="82"/>
      <c r="I15" s="36" t="s">
        <v>65</v>
      </c>
      <c r="J15" s="35">
        <f>G15*AO15</f>
        <v>0</v>
      </c>
      <c r="K15" s="35">
        <f>G15*AP15</f>
        <v>0</v>
      </c>
      <c r="L15" s="35">
        <f>G15*H15</f>
        <v>0</v>
      </c>
      <c r="M15" s="35">
        <f>L15*(1+BW15/100)</f>
        <v>0</v>
      </c>
      <c r="N15" s="35">
        <v>0.22500000000000001</v>
      </c>
      <c r="O15" s="35">
        <f>G15*N15</f>
        <v>3.1724999999999999</v>
      </c>
      <c r="P15" s="37" t="s">
        <v>66</v>
      </c>
      <c r="Z15" s="35">
        <f>IF(AQ15="5",BJ15,0)</f>
        <v>0</v>
      </c>
      <c r="AB15" s="35">
        <f>IF(AQ15="1",BH15,0)</f>
        <v>0</v>
      </c>
      <c r="AC15" s="35">
        <f>IF(AQ15="1",BI15,0)</f>
        <v>0</v>
      </c>
      <c r="AD15" s="35">
        <f>IF(AQ15="7",BH15,0)</f>
        <v>0</v>
      </c>
      <c r="AE15" s="35">
        <f>IF(AQ15="7",BI15,0)</f>
        <v>0</v>
      </c>
      <c r="AF15" s="35">
        <f>IF(AQ15="2",BH15,0)</f>
        <v>0</v>
      </c>
      <c r="AG15" s="35">
        <f>IF(AQ15="2",BI15,0)</f>
        <v>0</v>
      </c>
      <c r="AH15" s="35">
        <f>IF(AQ15="0",BJ15,0)</f>
        <v>0</v>
      </c>
      <c r="AI15" s="12" t="s">
        <v>57</v>
      </c>
      <c r="AJ15" s="35">
        <f>IF(AN15=0,L15,0)</f>
        <v>0</v>
      </c>
      <c r="AK15" s="35">
        <f>IF(AN15=12,L15,0)</f>
        <v>0</v>
      </c>
      <c r="AL15" s="35">
        <f>IF(AN15=21,L15,0)</f>
        <v>0</v>
      </c>
      <c r="AN15" s="35">
        <v>21</v>
      </c>
      <c r="AO15" s="35">
        <f>H15*0</f>
        <v>0</v>
      </c>
      <c r="AP15" s="35">
        <f>H15*(1-0)</f>
        <v>0</v>
      </c>
      <c r="AQ15" s="36" t="s">
        <v>61</v>
      </c>
      <c r="AV15" s="35">
        <f>AW15+AX15</f>
        <v>0</v>
      </c>
      <c r="AW15" s="35">
        <f>G15*AO15</f>
        <v>0</v>
      </c>
      <c r="AX15" s="35">
        <f>G15*AP15</f>
        <v>0</v>
      </c>
      <c r="AY15" s="36" t="s">
        <v>67</v>
      </c>
      <c r="AZ15" s="36" t="s">
        <v>68</v>
      </c>
      <c r="BA15" s="12" t="s">
        <v>69</v>
      </c>
      <c r="BC15" s="35">
        <f>AW15+AX15</f>
        <v>0</v>
      </c>
      <c r="BD15" s="35">
        <f>H15/(100-BE15)*100</f>
        <v>0</v>
      </c>
      <c r="BE15" s="35">
        <v>0</v>
      </c>
      <c r="BF15" s="35">
        <f>O15</f>
        <v>3.1724999999999999</v>
      </c>
      <c r="BH15" s="35">
        <f>G15*AO15</f>
        <v>0</v>
      </c>
      <c r="BI15" s="35">
        <f>G15*AP15</f>
        <v>0</v>
      </c>
      <c r="BJ15" s="35">
        <f>G15*H15</f>
        <v>0</v>
      </c>
      <c r="BK15" s="35"/>
      <c r="BL15" s="35">
        <v>11</v>
      </c>
      <c r="BW15" s="35" t="str">
        <f>I15</f>
        <v>21</v>
      </c>
      <c r="BX15" s="4" t="s">
        <v>72</v>
      </c>
    </row>
    <row r="16" spans="1:76" ht="13.5" customHeight="1" x14ac:dyDescent="0.4">
      <c r="A16" s="38"/>
      <c r="C16" s="39" t="s">
        <v>73</v>
      </c>
      <c r="D16" s="94" t="s">
        <v>74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6"/>
    </row>
    <row r="17" spans="1:76" ht="14.6" x14ac:dyDescent="0.4">
      <c r="A17" s="38"/>
      <c r="D17" s="40" t="s">
        <v>75</v>
      </c>
      <c r="E17" s="41" t="s">
        <v>56</v>
      </c>
      <c r="G17" s="42">
        <v>14.1</v>
      </c>
      <c r="P17" s="43"/>
    </row>
    <row r="18" spans="1:76" ht="14.6" x14ac:dyDescent="0.4">
      <c r="A18" s="2" t="s">
        <v>76</v>
      </c>
      <c r="B18" s="3" t="s">
        <v>57</v>
      </c>
      <c r="C18" s="3" t="s">
        <v>77</v>
      </c>
      <c r="D18" s="83" t="s">
        <v>78</v>
      </c>
      <c r="E18" s="84"/>
      <c r="F18" s="3" t="s">
        <v>64</v>
      </c>
      <c r="G18" s="35">
        <v>19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0.374</v>
      </c>
      <c r="O18" s="35">
        <f>G18*N18</f>
        <v>7.1059999999999999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7.1059999999999999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78</v>
      </c>
    </row>
    <row r="19" spans="1:76" ht="13.5" customHeight="1" x14ac:dyDescent="0.4">
      <c r="A19" s="38"/>
      <c r="C19" s="39" t="s">
        <v>73</v>
      </c>
      <c r="D19" s="94" t="s">
        <v>79</v>
      </c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76" ht="14.6" x14ac:dyDescent="0.4">
      <c r="A20" s="38"/>
      <c r="D20" s="40" t="s">
        <v>80</v>
      </c>
      <c r="E20" s="41" t="s">
        <v>56</v>
      </c>
      <c r="G20" s="42">
        <v>19</v>
      </c>
      <c r="P20" s="43"/>
    </row>
    <row r="21" spans="1:76" ht="14.6" x14ac:dyDescent="0.4">
      <c r="A21" s="2" t="s">
        <v>81</v>
      </c>
      <c r="B21" s="3" t="s">
        <v>57</v>
      </c>
      <c r="C21" s="3" t="s">
        <v>82</v>
      </c>
      <c r="D21" s="83" t="s">
        <v>83</v>
      </c>
      <c r="E21" s="84"/>
      <c r="F21" s="3" t="s">
        <v>64</v>
      </c>
      <c r="G21" s="35">
        <v>193</v>
      </c>
      <c r="H21" s="82"/>
      <c r="I21" s="36" t="s">
        <v>65</v>
      </c>
      <c r="J21" s="35">
        <f>G21*AO21</f>
        <v>0</v>
      </c>
      <c r="K21" s="35">
        <f>G21*AP21</f>
        <v>0</v>
      </c>
      <c r="L21" s="35">
        <f>G21*H21</f>
        <v>0</v>
      </c>
      <c r="M21" s="35">
        <f>L21*(1+BW21/100)</f>
        <v>0</v>
      </c>
      <c r="N21" s="35">
        <v>0.55000000000000004</v>
      </c>
      <c r="O21" s="35">
        <f>G21*N21</f>
        <v>106.15</v>
      </c>
      <c r="P21" s="37" t="s">
        <v>66</v>
      </c>
      <c r="Z21" s="35">
        <f>IF(AQ21="5",BJ21,0)</f>
        <v>0</v>
      </c>
      <c r="AB21" s="35">
        <f>IF(AQ21="1",BH21,0)</f>
        <v>0</v>
      </c>
      <c r="AC21" s="35">
        <f>IF(AQ21="1",BI21,0)</f>
        <v>0</v>
      </c>
      <c r="AD21" s="35">
        <f>IF(AQ21="7",BH21,0)</f>
        <v>0</v>
      </c>
      <c r="AE21" s="35">
        <f>IF(AQ21="7",BI21,0)</f>
        <v>0</v>
      </c>
      <c r="AF21" s="35">
        <f>IF(AQ21="2",BH21,0)</f>
        <v>0</v>
      </c>
      <c r="AG21" s="35">
        <f>IF(AQ21="2",BI21,0)</f>
        <v>0</v>
      </c>
      <c r="AH21" s="35">
        <f>IF(AQ21="0",BJ21,0)</f>
        <v>0</v>
      </c>
      <c r="AI21" s="12" t="s">
        <v>57</v>
      </c>
      <c r="AJ21" s="35">
        <f>IF(AN21=0,L21,0)</f>
        <v>0</v>
      </c>
      <c r="AK21" s="35">
        <f>IF(AN21=12,L21,0)</f>
        <v>0</v>
      </c>
      <c r="AL21" s="35">
        <f>IF(AN21=21,L21,0)</f>
        <v>0</v>
      </c>
      <c r="AN21" s="35">
        <v>21</v>
      </c>
      <c r="AO21" s="35">
        <f>H21*0</f>
        <v>0</v>
      </c>
      <c r="AP21" s="35">
        <f>H21*(1-0)</f>
        <v>0</v>
      </c>
      <c r="AQ21" s="36" t="s">
        <v>61</v>
      </c>
      <c r="AV21" s="35">
        <f>AW21+AX21</f>
        <v>0</v>
      </c>
      <c r="AW21" s="35">
        <f>G21*AO21</f>
        <v>0</v>
      </c>
      <c r="AX21" s="35">
        <f>G21*AP21</f>
        <v>0</v>
      </c>
      <c r="AY21" s="36" t="s">
        <v>67</v>
      </c>
      <c r="AZ21" s="36" t="s">
        <v>68</v>
      </c>
      <c r="BA21" s="12" t="s">
        <v>69</v>
      </c>
      <c r="BC21" s="35">
        <f>AW21+AX21</f>
        <v>0</v>
      </c>
      <c r="BD21" s="35">
        <f>H21/(100-BE21)*100</f>
        <v>0</v>
      </c>
      <c r="BE21" s="35">
        <v>0</v>
      </c>
      <c r="BF21" s="35">
        <f>O21</f>
        <v>106.15</v>
      </c>
      <c r="BH21" s="35">
        <f>G21*AO21</f>
        <v>0</v>
      </c>
      <c r="BI21" s="35">
        <f>G21*AP21</f>
        <v>0</v>
      </c>
      <c r="BJ21" s="35">
        <f>G21*H21</f>
        <v>0</v>
      </c>
      <c r="BK21" s="35"/>
      <c r="BL21" s="35">
        <v>11</v>
      </c>
      <c r="BW21" s="35" t="str">
        <f>I21</f>
        <v>21</v>
      </c>
      <c r="BX21" s="4" t="s">
        <v>83</v>
      </c>
    </row>
    <row r="22" spans="1:76" ht="13.5" customHeight="1" x14ac:dyDescent="0.4">
      <c r="A22" s="38"/>
      <c r="C22" s="39" t="s">
        <v>73</v>
      </c>
      <c r="D22" s="94" t="s">
        <v>84</v>
      </c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6"/>
    </row>
    <row r="23" spans="1:76" ht="14.6" x14ac:dyDescent="0.4">
      <c r="A23" s="2" t="s">
        <v>85</v>
      </c>
      <c r="B23" s="3" t="s">
        <v>57</v>
      </c>
      <c r="C23" s="3" t="s">
        <v>86</v>
      </c>
      <c r="D23" s="83" t="s">
        <v>87</v>
      </c>
      <c r="E23" s="84"/>
      <c r="F23" s="3" t="s">
        <v>64</v>
      </c>
      <c r="G23" s="35">
        <v>19</v>
      </c>
      <c r="H23" s="82"/>
      <c r="I23" s="36" t="s">
        <v>65</v>
      </c>
      <c r="J23" s="35">
        <f>G23*AO23</f>
        <v>0</v>
      </c>
      <c r="K23" s="35">
        <f>G23*AP23</f>
        <v>0</v>
      </c>
      <c r="L23" s="35">
        <f>G23*H23</f>
        <v>0</v>
      </c>
      <c r="M23" s="35">
        <f>L23*(1+BW23/100)</f>
        <v>0</v>
      </c>
      <c r="N23" s="35">
        <v>0.44</v>
      </c>
      <c r="O23" s="35">
        <f>G23*N23</f>
        <v>8.36</v>
      </c>
      <c r="P23" s="37" t="s">
        <v>66</v>
      </c>
      <c r="Z23" s="35">
        <f>IF(AQ23="5",BJ23,0)</f>
        <v>0</v>
      </c>
      <c r="AB23" s="35">
        <f>IF(AQ23="1",BH23,0)</f>
        <v>0</v>
      </c>
      <c r="AC23" s="35">
        <f>IF(AQ23="1",BI23,0)</f>
        <v>0</v>
      </c>
      <c r="AD23" s="35">
        <f>IF(AQ23="7",BH23,0)</f>
        <v>0</v>
      </c>
      <c r="AE23" s="35">
        <f>IF(AQ23="7",BI23,0)</f>
        <v>0</v>
      </c>
      <c r="AF23" s="35">
        <f>IF(AQ23="2",BH23,0)</f>
        <v>0</v>
      </c>
      <c r="AG23" s="35">
        <f>IF(AQ23="2",BI23,0)</f>
        <v>0</v>
      </c>
      <c r="AH23" s="35">
        <f>IF(AQ23="0",BJ23,0)</f>
        <v>0</v>
      </c>
      <c r="AI23" s="12" t="s">
        <v>57</v>
      </c>
      <c r="AJ23" s="35">
        <f>IF(AN23=0,L23,0)</f>
        <v>0</v>
      </c>
      <c r="AK23" s="35">
        <f>IF(AN23=12,L23,0)</f>
        <v>0</v>
      </c>
      <c r="AL23" s="35">
        <f>IF(AN23=21,L23,0)</f>
        <v>0</v>
      </c>
      <c r="AN23" s="35">
        <v>21</v>
      </c>
      <c r="AO23" s="35">
        <f>H23*0</f>
        <v>0</v>
      </c>
      <c r="AP23" s="35">
        <f>H23*(1-0)</f>
        <v>0</v>
      </c>
      <c r="AQ23" s="36" t="s">
        <v>61</v>
      </c>
      <c r="AV23" s="35">
        <f>AW23+AX23</f>
        <v>0</v>
      </c>
      <c r="AW23" s="35">
        <f>G23*AO23</f>
        <v>0</v>
      </c>
      <c r="AX23" s="35">
        <f>G23*AP23</f>
        <v>0</v>
      </c>
      <c r="AY23" s="36" t="s">
        <v>67</v>
      </c>
      <c r="AZ23" s="36" t="s">
        <v>68</v>
      </c>
      <c r="BA23" s="12" t="s">
        <v>69</v>
      </c>
      <c r="BC23" s="35">
        <f>AW23+AX23</f>
        <v>0</v>
      </c>
      <c r="BD23" s="35">
        <f>H23/(100-BE23)*100</f>
        <v>0</v>
      </c>
      <c r="BE23" s="35">
        <v>0</v>
      </c>
      <c r="BF23" s="35">
        <f>O23</f>
        <v>8.36</v>
      </c>
      <c r="BH23" s="35">
        <f>G23*AO23</f>
        <v>0</v>
      </c>
      <c r="BI23" s="35">
        <f>G23*AP23</f>
        <v>0</v>
      </c>
      <c r="BJ23" s="35">
        <f>G23*H23</f>
        <v>0</v>
      </c>
      <c r="BK23" s="35"/>
      <c r="BL23" s="35">
        <v>11</v>
      </c>
      <c r="BW23" s="35" t="str">
        <f>I23</f>
        <v>21</v>
      </c>
      <c r="BX23" s="4" t="s">
        <v>87</v>
      </c>
    </row>
    <row r="24" spans="1:76" ht="13.5" customHeight="1" x14ac:dyDescent="0.4">
      <c r="A24" s="38"/>
      <c r="C24" s="39" t="s">
        <v>73</v>
      </c>
      <c r="D24" s="94" t="s">
        <v>79</v>
      </c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76" ht="14.6" x14ac:dyDescent="0.4">
      <c r="A25" s="38"/>
      <c r="D25" s="40" t="s">
        <v>80</v>
      </c>
      <c r="E25" s="41" t="s">
        <v>56</v>
      </c>
      <c r="G25" s="42">
        <v>19</v>
      </c>
      <c r="P25" s="43"/>
    </row>
    <row r="26" spans="1:76" ht="14.6" x14ac:dyDescent="0.4">
      <c r="A26" s="2" t="s">
        <v>88</v>
      </c>
      <c r="B26" s="3" t="s">
        <v>57</v>
      </c>
      <c r="C26" s="3" t="s">
        <v>89</v>
      </c>
      <c r="D26" s="83" t="s">
        <v>90</v>
      </c>
      <c r="E26" s="84"/>
      <c r="F26" s="3" t="s">
        <v>64</v>
      </c>
      <c r="G26" s="35">
        <v>193</v>
      </c>
      <c r="H26" s="82"/>
      <c r="I26" s="36" t="s">
        <v>65</v>
      </c>
      <c r="J26" s="35">
        <f>G26*AO26</f>
        <v>0</v>
      </c>
      <c r="K26" s="35">
        <f>G26*AP26</f>
        <v>0</v>
      </c>
      <c r="L26" s="35">
        <f>G26*H26</f>
        <v>0</v>
      </c>
      <c r="M26" s="35">
        <f>L26*(1+BW26/100)</f>
        <v>0</v>
      </c>
      <c r="N26" s="35">
        <v>0.26400000000000001</v>
      </c>
      <c r="O26" s="35">
        <f>G26*N26</f>
        <v>50.952000000000005</v>
      </c>
      <c r="P26" s="37" t="s">
        <v>66</v>
      </c>
      <c r="Z26" s="35">
        <f>IF(AQ26="5",BJ26,0)</f>
        <v>0</v>
      </c>
      <c r="AB26" s="35">
        <f>IF(AQ26="1",BH26,0)</f>
        <v>0</v>
      </c>
      <c r="AC26" s="35">
        <f>IF(AQ26="1",BI26,0)</f>
        <v>0</v>
      </c>
      <c r="AD26" s="35">
        <f>IF(AQ26="7",BH26,0)</f>
        <v>0</v>
      </c>
      <c r="AE26" s="35">
        <f>IF(AQ26="7",BI26,0)</f>
        <v>0</v>
      </c>
      <c r="AF26" s="35">
        <f>IF(AQ26="2",BH26,0)</f>
        <v>0</v>
      </c>
      <c r="AG26" s="35">
        <f>IF(AQ26="2",BI26,0)</f>
        <v>0</v>
      </c>
      <c r="AH26" s="35">
        <f>IF(AQ26="0",BJ26,0)</f>
        <v>0</v>
      </c>
      <c r="AI26" s="12" t="s">
        <v>57</v>
      </c>
      <c r="AJ26" s="35">
        <f>IF(AN26=0,L26,0)</f>
        <v>0</v>
      </c>
      <c r="AK26" s="35">
        <f>IF(AN26=12,L26,0)</f>
        <v>0</v>
      </c>
      <c r="AL26" s="35">
        <f>IF(AN26=21,L26,0)</f>
        <v>0</v>
      </c>
      <c r="AN26" s="35">
        <v>21</v>
      </c>
      <c r="AO26" s="35">
        <f>H26*0</f>
        <v>0</v>
      </c>
      <c r="AP26" s="35">
        <f>H26*(1-0)</f>
        <v>0</v>
      </c>
      <c r="AQ26" s="36" t="s">
        <v>61</v>
      </c>
      <c r="AV26" s="35">
        <f>AW26+AX26</f>
        <v>0</v>
      </c>
      <c r="AW26" s="35">
        <f>G26*AO26</f>
        <v>0</v>
      </c>
      <c r="AX26" s="35">
        <f>G26*AP26</f>
        <v>0</v>
      </c>
      <c r="AY26" s="36" t="s">
        <v>67</v>
      </c>
      <c r="AZ26" s="36" t="s">
        <v>68</v>
      </c>
      <c r="BA26" s="12" t="s">
        <v>69</v>
      </c>
      <c r="BC26" s="35">
        <f>AW26+AX26</f>
        <v>0</v>
      </c>
      <c r="BD26" s="35">
        <f>H26/(100-BE26)*100</f>
        <v>0</v>
      </c>
      <c r="BE26" s="35">
        <v>0</v>
      </c>
      <c r="BF26" s="35">
        <f>O26</f>
        <v>50.952000000000005</v>
      </c>
      <c r="BH26" s="35">
        <f>G26*AO26</f>
        <v>0</v>
      </c>
      <c r="BI26" s="35">
        <f>G26*AP26</f>
        <v>0</v>
      </c>
      <c r="BJ26" s="35">
        <f>G26*H26</f>
        <v>0</v>
      </c>
      <c r="BK26" s="35"/>
      <c r="BL26" s="35">
        <v>11</v>
      </c>
      <c r="BW26" s="35" t="str">
        <f>I26</f>
        <v>21</v>
      </c>
      <c r="BX26" s="4" t="s">
        <v>90</v>
      </c>
    </row>
    <row r="27" spans="1:76" ht="13.5" customHeight="1" x14ac:dyDescent="0.4">
      <c r="A27" s="38"/>
      <c r="C27" s="39" t="s">
        <v>73</v>
      </c>
      <c r="D27" s="94" t="s">
        <v>84</v>
      </c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6"/>
    </row>
    <row r="28" spans="1:76" ht="14.6" x14ac:dyDescent="0.4">
      <c r="A28" s="2" t="s">
        <v>91</v>
      </c>
      <c r="B28" s="3" t="s">
        <v>57</v>
      </c>
      <c r="C28" s="3" t="s">
        <v>92</v>
      </c>
      <c r="D28" s="83" t="s">
        <v>93</v>
      </c>
      <c r="E28" s="84"/>
      <c r="F28" s="3" t="s">
        <v>94</v>
      </c>
      <c r="G28" s="35">
        <v>18</v>
      </c>
      <c r="H28" s="82"/>
      <c r="I28" s="36" t="s">
        <v>65</v>
      </c>
      <c r="J28" s="35">
        <f>G28*AO28</f>
        <v>0</v>
      </c>
      <c r="K28" s="35">
        <f>G28*AP28</f>
        <v>0</v>
      </c>
      <c r="L28" s="35">
        <f>G28*H28</f>
        <v>0</v>
      </c>
      <c r="M28" s="35">
        <f>L28*(1+BW28/100)</f>
        <v>0</v>
      </c>
      <c r="N28" s="35">
        <v>0.22</v>
      </c>
      <c r="O28" s="35">
        <f>G28*N28</f>
        <v>3.96</v>
      </c>
      <c r="P28" s="37" t="s">
        <v>66</v>
      </c>
      <c r="Z28" s="35">
        <f>IF(AQ28="5",BJ28,0)</f>
        <v>0</v>
      </c>
      <c r="AB28" s="35">
        <f>IF(AQ28="1",BH28,0)</f>
        <v>0</v>
      </c>
      <c r="AC28" s="35">
        <f>IF(AQ28="1",BI28,0)</f>
        <v>0</v>
      </c>
      <c r="AD28" s="35">
        <f>IF(AQ28="7",BH28,0)</f>
        <v>0</v>
      </c>
      <c r="AE28" s="35">
        <f>IF(AQ28="7",BI28,0)</f>
        <v>0</v>
      </c>
      <c r="AF28" s="35">
        <f>IF(AQ28="2",BH28,0)</f>
        <v>0</v>
      </c>
      <c r="AG28" s="35">
        <f>IF(AQ28="2",BI28,0)</f>
        <v>0</v>
      </c>
      <c r="AH28" s="35">
        <f>IF(AQ28="0",BJ28,0)</f>
        <v>0</v>
      </c>
      <c r="AI28" s="12" t="s">
        <v>57</v>
      </c>
      <c r="AJ28" s="35">
        <f>IF(AN28=0,L28,0)</f>
        <v>0</v>
      </c>
      <c r="AK28" s="35">
        <f>IF(AN28=12,L28,0)</f>
        <v>0</v>
      </c>
      <c r="AL28" s="35">
        <f>IF(AN28=21,L28,0)</f>
        <v>0</v>
      </c>
      <c r="AN28" s="35">
        <v>21</v>
      </c>
      <c r="AO28" s="35">
        <f>H28*0</f>
        <v>0</v>
      </c>
      <c r="AP28" s="35">
        <f>H28*(1-0)</f>
        <v>0</v>
      </c>
      <c r="AQ28" s="36" t="s">
        <v>61</v>
      </c>
      <c r="AV28" s="35">
        <f>AW28+AX28</f>
        <v>0</v>
      </c>
      <c r="AW28" s="35">
        <f>G28*AO28</f>
        <v>0</v>
      </c>
      <c r="AX28" s="35">
        <f>G28*AP28</f>
        <v>0</v>
      </c>
      <c r="AY28" s="36" t="s">
        <v>67</v>
      </c>
      <c r="AZ28" s="36" t="s">
        <v>68</v>
      </c>
      <c r="BA28" s="12" t="s">
        <v>69</v>
      </c>
      <c r="BC28" s="35">
        <f>AW28+AX28</f>
        <v>0</v>
      </c>
      <c r="BD28" s="35">
        <f>H28/(100-BE28)*100</f>
        <v>0</v>
      </c>
      <c r="BE28" s="35">
        <v>0</v>
      </c>
      <c r="BF28" s="35">
        <f>O28</f>
        <v>3.96</v>
      </c>
      <c r="BH28" s="35">
        <f>G28*AO28</f>
        <v>0</v>
      </c>
      <c r="BI28" s="35">
        <f>G28*AP28</f>
        <v>0</v>
      </c>
      <c r="BJ28" s="35">
        <f>G28*H28</f>
        <v>0</v>
      </c>
      <c r="BK28" s="35"/>
      <c r="BL28" s="35">
        <v>11</v>
      </c>
      <c r="BW28" s="35" t="str">
        <f>I28</f>
        <v>21</v>
      </c>
      <c r="BX28" s="4" t="s">
        <v>93</v>
      </c>
    </row>
    <row r="29" spans="1:76" ht="14.6" x14ac:dyDescent="0.4">
      <c r="A29" s="38"/>
      <c r="D29" s="40" t="s">
        <v>95</v>
      </c>
      <c r="E29" s="41" t="s">
        <v>56</v>
      </c>
      <c r="G29" s="42">
        <v>18</v>
      </c>
      <c r="P29" s="43"/>
    </row>
    <row r="30" spans="1:76" ht="14.6" x14ac:dyDescent="0.4">
      <c r="A30" s="2" t="s">
        <v>96</v>
      </c>
      <c r="B30" s="3" t="s">
        <v>57</v>
      </c>
      <c r="C30" s="3" t="s">
        <v>97</v>
      </c>
      <c r="D30" s="83" t="s">
        <v>98</v>
      </c>
      <c r="E30" s="84"/>
      <c r="F30" s="3" t="s">
        <v>94</v>
      </c>
      <c r="G30" s="35">
        <v>150.5</v>
      </c>
      <c r="H30" s="82"/>
      <c r="I30" s="36" t="s">
        <v>65</v>
      </c>
      <c r="J30" s="35">
        <f>G30*AO30</f>
        <v>0</v>
      </c>
      <c r="K30" s="35">
        <f>G30*AP30</f>
        <v>0</v>
      </c>
      <c r="L30" s="35">
        <f>G30*H30</f>
        <v>0</v>
      </c>
      <c r="M30" s="35">
        <f>L30*(1+BW30/100)</f>
        <v>0</v>
      </c>
      <c r="N30" s="35">
        <v>0.27</v>
      </c>
      <c r="O30" s="35">
        <f>G30*N30</f>
        <v>40.635000000000005</v>
      </c>
      <c r="P30" s="37" t="s">
        <v>66</v>
      </c>
      <c r="Z30" s="35">
        <f>IF(AQ30="5",BJ30,0)</f>
        <v>0</v>
      </c>
      <c r="AB30" s="35">
        <f>IF(AQ30="1",BH30,0)</f>
        <v>0</v>
      </c>
      <c r="AC30" s="35">
        <f>IF(AQ30="1",BI30,0)</f>
        <v>0</v>
      </c>
      <c r="AD30" s="35">
        <f>IF(AQ30="7",BH30,0)</f>
        <v>0</v>
      </c>
      <c r="AE30" s="35">
        <f>IF(AQ30="7",BI30,0)</f>
        <v>0</v>
      </c>
      <c r="AF30" s="35">
        <f>IF(AQ30="2",BH30,0)</f>
        <v>0</v>
      </c>
      <c r="AG30" s="35">
        <f>IF(AQ30="2",BI30,0)</f>
        <v>0</v>
      </c>
      <c r="AH30" s="35">
        <f>IF(AQ30="0",BJ30,0)</f>
        <v>0</v>
      </c>
      <c r="AI30" s="12" t="s">
        <v>57</v>
      </c>
      <c r="AJ30" s="35">
        <f>IF(AN30=0,L30,0)</f>
        <v>0</v>
      </c>
      <c r="AK30" s="35">
        <f>IF(AN30=12,L30,0)</f>
        <v>0</v>
      </c>
      <c r="AL30" s="35">
        <f>IF(AN30=21,L30,0)</f>
        <v>0</v>
      </c>
      <c r="AN30" s="35">
        <v>21</v>
      </c>
      <c r="AO30" s="35">
        <f>H30*0</f>
        <v>0</v>
      </c>
      <c r="AP30" s="35">
        <f>H30*(1-0)</f>
        <v>0</v>
      </c>
      <c r="AQ30" s="36" t="s">
        <v>61</v>
      </c>
      <c r="AV30" s="35">
        <f>AW30+AX30</f>
        <v>0</v>
      </c>
      <c r="AW30" s="35">
        <f>G30*AO30</f>
        <v>0</v>
      </c>
      <c r="AX30" s="35">
        <f>G30*AP30</f>
        <v>0</v>
      </c>
      <c r="AY30" s="36" t="s">
        <v>67</v>
      </c>
      <c r="AZ30" s="36" t="s">
        <v>68</v>
      </c>
      <c r="BA30" s="12" t="s">
        <v>69</v>
      </c>
      <c r="BC30" s="35">
        <f>AW30+AX30</f>
        <v>0</v>
      </c>
      <c r="BD30" s="35">
        <f>H30/(100-BE30)*100</f>
        <v>0</v>
      </c>
      <c r="BE30" s="35">
        <v>0</v>
      </c>
      <c r="BF30" s="35">
        <f>O30</f>
        <v>40.635000000000005</v>
      </c>
      <c r="BH30" s="35">
        <f>G30*AO30</f>
        <v>0</v>
      </c>
      <c r="BI30" s="35">
        <f>G30*AP30</f>
        <v>0</v>
      </c>
      <c r="BJ30" s="35">
        <f>G30*H30</f>
        <v>0</v>
      </c>
      <c r="BK30" s="35"/>
      <c r="BL30" s="35">
        <v>11</v>
      </c>
      <c r="BW30" s="35" t="str">
        <f>I30</f>
        <v>21</v>
      </c>
      <c r="BX30" s="4" t="s">
        <v>98</v>
      </c>
    </row>
    <row r="31" spans="1:76" ht="13.5" customHeight="1" x14ac:dyDescent="0.4">
      <c r="A31" s="38"/>
      <c r="C31" s="39" t="s">
        <v>73</v>
      </c>
      <c r="D31" s="94" t="s">
        <v>99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6"/>
    </row>
    <row r="32" spans="1:76" ht="14.6" x14ac:dyDescent="0.4">
      <c r="A32" s="38"/>
      <c r="D32" s="40" t="s">
        <v>100</v>
      </c>
      <c r="E32" s="41" t="s">
        <v>56</v>
      </c>
      <c r="G32" s="42">
        <v>150.5</v>
      </c>
      <c r="P32" s="43"/>
    </row>
    <row r="33" spans="1:76" ht="14.6" x14ac:dyDescent="0.4">
      <c r="A33" s="31" t="s">
        <v>56</v>
      </c>
      <c r="B33" s="32" t="s">
        <v>57</v>
      </c>
      <c r="C33" s="32" t="s">
        <v>101</v>
      </c>
      <c r="D33" s="92" t="s">
        <v>102</v>
      </c>
      <c r="E33" s="93"/>
      <c r="F33" s="33" t="s">
        <v>4</v>
      </c>
      <c r="G33" s="33" t="s">
        <v>4</v>
      </c>
      <c r="H33" s="33" t="s">
        <v>4</v>
      </c>
      <c r="I33" s="33" t="s">
        <v>4</v>
      </c>
      <c r="J33" s="1">
        <f>SUM(J34:J40)</f>
        <v>0</v>
      </c>
      <c r="K33" s="1">
        <f>SUM(K34:K40)</f>
        <v>0</v>
      </c>
      <c r="L33" s="1">
        <f>SUM(L34:L40)</f>
        <v>0</v>
      </c>
      <c r="M33" s="1">
        <f>SUM(M34:M40)</f>
        <v>0</v>
      </c>
      <c r="N33" s="12" t="s">
        <v>56</v>
      </c>
      <c r="O33" s="1">
        <f>SUM(O34:O40)</f>
        <v>0</v>
      </c>
      <c r="P33" s="34" t="s">
        <v>56</v>
      </c>
      <c r="AI33" s="12" t="s">
        <v>57</v>
      </c>
      <c r="AS33" s="1">
        <f>SUM(AJ34:AJ40)</f>
        <v>0</v>
      </c>
      <c r="AT33" s="1">
        <f>SUM(AK34:AK40)</f>
        <v>0</v>
      </c>
      <c r="AU33" s="1">
        <f>SUM(AL34:AL40)</f>
        <v>0</v>
      </c>
    </row>
    <row r="34" spans="1:76" ht="14.6" x14ac:dyDescent="0.4">
      <c r="A34" s="2" t="s">
        <v>103</v>
      </c>
      <c r="B34" s="3" t="s">
        <v>57</v>
      </c>
      <c r="C34" s="3" t="s">
        <v>104</v>
      </c>
      <c r="D34" s="83" t="s">
        <v>105</v>
      </c>
      <c r="E34" s="84"/>
      <c r="F34" s="3" t="s">
        <v>106</v>
      </c>
      <c r="G34" s="35">
        <v>18</v>
      </c>
      <c r="H34" s="82"/>
      <c r="I34" s="36" t="s">
        <v>65</v>
      </c>
      <c r="J34" s="35">
        <f>G34*AO34</f>
        <v>0</v>
      </c>
      <c r="K34" s="35">
        <f>G34*AP34</f>
        <v>0</v>
      </c>
      <c r="L34" s="35">
        <f>G34*H34</f>
        <v>0</v>
      </c>
      <c r="M34" s="35">
        <f>L34*(1+BW34/100)</f>
        <v>0</v>
      </c>
      <c r="N34" s="35">
        <v>0</v>
      </c>
      <c r="O34" s="35">
        <f>G34*N34</f>
        <v>0</v>
      </c>
      <c r="P34" s="37" t="s">
        <v>66</v>
      </c>
      <c r="Z34" s="35">
        <f>IF(AQ34="5",BJ34,0)</f>
        <v>0</v>
      </c>
      <c r="AB34" s="35">
        <f>IF(AQ34="1",BH34,0)</f>
        <v>0</v>
      </c>
      <c r="AC34" s="35">
        <f>IF(AQ34="1",BI34,0)</f>
        <v>0</v>
      </c>
      <c r="AD34" s="35">
        <f>IF(AQ34="7",BH34,0)</f>
        <v>0</v>
      </c>
      <c r="AE34" s="35">
        <f>IF(AQ34="7",BI34,0)</f>
        <v>0</v>
      </c>
      <c r="AF34" s="35">
        <f>IF(AQ34="2",BH34,0)</f>
        <v>0</v>
      </c>
      <c r="AG34" s="35">
        <f>IF(AQ34="2",BI34,0)</f>
        <v>0</v>
      </c>
      <c r="AH34" s="35">
        <f>IF(AQ34="0",BJ34,0)</f>
        <v>0</v>
      </c>
      <c r="AI34" s="12" t="s">
        <v>57</v>
      </c>
      <c r="AJ34" s="35">
        <f>IF(AN34=0,L34,0)</f>
        <v>0</v>
      </c>
      <c r="AK34" s="35">
        <f>IF(AN34=12,L34,0)</f>
        <v>0</v>
      </c>
      <c r="AL34" s="35">
        <f>IF(AN34=21,L34,0)</f>
        <v>0</v>
      </c>
      <c r="AN34" s="35">
        <v>21</v>
      </c>
      <c r="AO34" s="35">
        <f>H34*0</f>
        <v>0</v>
      </c>
      <c r="AP34" s="35">
        <f>H34*(1-0)</f>
        <v>0</v>
      </c>
      <c r="AQ34" s="36" t="s">
        <v>61</v>
      </c>
      <c r="AV34" s="35">
        <f>AW34+AX34</f>
        <v>0</v>
      </c>
      <c r="AW34" s="35">
        <f>G34*AO34</f>
        <v>0</v>
      </c>
      <c r="AX34" s="35">
        <f>G34*AP34</f>
        <v>0</v>
      </c>
      <c r="AY34" s="36" t="s">
        <v>107</v>
      </c>
      <c r="AZ34" s="36" t="s">
        <v>68</v>
      </c>
      <c r="BA34" s="12" t="s">
        <v>69</v>
      </c>
      <c r="BC34" s="35">
        <f>AW34+AX34</f>
        <v>0</v>
      </c>
      <c r="BD34" s="35">
        <f>H34/(100-BE34)*100</f>
        <v>0</v>
      </c>
      <c r="BE34" s="35">
        <v>0</v>
      </c>
      <c r="BF34" s="35">
        <f>O34</f>
        <v>0</v>
      </c>
      <c r="BH34" s="35">
        <f>G34*AO34</f>
        <v>0</v>
      </c>
      <c r="BI34" s="35">
        <f>G34*AP34</f>
        <v>0</v>
      </c>
      <c r="BJ34" s="35">
        <f>G34*H34</f>
        <v>0</v>
      </c>
      <c r="BK34" s="35"/>
      <c r="BL34" s="35">
        <v>12</v>
      </c>
      <c r="BW34" s="35" t="str">
        <f>I34</f>
        <v>21</v>
      </c>
      <c r="BX34" s="4" t="s">
        <v>105</v>
      </c>
    </row>
    <row r="35" spans="1:76" ht="14.6" x14ac:dyDescent="0.4">
      <c r="A35" s="38"/>
      <c r="D35" s="40" t="s">
        <v>108</v>
      </c>
      <c r="E35" s="41" t="s">
        <v>56</v>
      </c>
      <c r="G35" s="42">
        <v>18</v>
      </c>
      <c r="P35" s="43"/>
    </row>
    <row r="36" spans="1:76" ht="14.6" x14ac:dyDescent="0.4">
      <c r="A36" s="2" t="s">
        <v>109</v>
      </c>
      <c r="B36" s="3" t="s">
        <v>57</v>
      </c>
      <c r="C36" s="3" t="s">
        <v>110</v>
      </c>
      <c r="D36" s="83" t="s">
        <v>111</v>
      </c>
      <c r="E36" s="84"/>
      <c r="F36" s="3" t="s">
        <v>106</v>
      </c>
      <c r="G36" s="35">
        <v>12.28</v>
      </c>
      <c r="H36" s="82"/>
      <c r="I36" s="36" t="s">
        <v>65</v>
      </c>
      <c r="J36" s="35">
        <f>G36*AO36</f>
        <v>0</v>
      </c>
      <c r="K36" s="35">
        <f>G36*AP36</f>
        <v>0</v>
      </c>
      <c r="L36" s="35">
        <f>G36*H36</f>
        <v>0</v>
      </c>
      <c r="M36" s="35">
        <f>L36*(1+BW36/100)</f>
        <v>0</v>
      </c>
      <c r="N36" s="35">
        <v>0</v>
      </c>
      <c r="O36" s="35">
        <f>G36*N36</f>
        <v>0</v>
      </c>
      <c r="P36" s="37" t="s">
        <v>66</v>
      </c>
      <c r="Z36" s="35">
        <f>IF(AQ36="5",BJ36,0)</f>
        <v>0</v>
      </c>
      <c r="AB36" s="35">
        <f>IF(AQ36="1",BH36,0)</f>
        <v>0</v>
      </c>
      <c r="AC36" s="35">
        <f>IF(AQ36="1",BI36,0)</f>
        <v>0</v>
      </c>
      <c r="AD36" s="35">
        <f>IF(AQ36="7",BH36,0)</f>
        <v>0</v>
      </c>
      <c r="AE36" s="35">
        <f>IF(AQ36="7",BI36,0)</f>
        <v>0</v>
      </c>
      <c r="AF36" s="35">
        <f>IF(AQ36="2",BH36,0)</f>
        <v>0</v>
      </c>
      <c r="AG36" s="35">
        <f>IF(AQ36="2",BI36,0)</f>
        <v>0</v>
      </c>
      <c r="AH36" s="35">
        <f>IF(AQ36="0",BJ36,0)</f>
        <v>0</v>
      </c>
      <c r="AI36" s="12" t="s">
        <v>57</v>
      </c>
      <c r="AJ36" s="35">
        <f>IF(AN36=0,L36,0)</f>
        <v>0</v>
      </c>
      <c r="AK36" s="35">
        <f>IF(AN36=12,L36,0)</f>
        <v>0</v>
      </c>
      <c r="AL36" s="35">
        <f>IF(AN36=21,L36,0)</f>
        <v>0</v>
      </c>
      <c r="AN36" s="35">
        <v>21</v>
      </c>
      <c r="AO36" s="35">
        <f>H36*0</f>
        <v>0</v>
      </c>
      <c r="AP36" s="35">
        <f>H36*(1-0)</f>
        <v>0</v>
      </c>
      <c r="AQ36" s="36" t="s">
        <v>61</v>
      </c>
      <c r="AV36" s="35">
        <f>AW36+AX36</f>
        <v>0</v>
      </c>
      <c r="AW36" s="35">
        <f>G36*AO36</f>
        <v>0</v>
      </c>
      <c r="AX36" s="35">
        <f>G36*AP36</f>
        <v>0</v>
      </c>
      <c r="AY36" s="36" t="s">
        <v>107</v>
      </c>
      <c r="AZ36" s="36" t="s">
        <v>68</v>
      </c>
      <c r="BA36" s="12" t="s">
        <v>69</v>
      </c>
      <c r="BC36" s="35">
        <f>AW36+AX36</f>
        <v>0</v>
      </c>
      <c r="BD36" s="35">
        <f>H36/(100-BE36)*100</f>
        <v>0</v>
      </c>
      <c r="BE36" s="35">
        <v>0</v>
      </c>
      <c r="BF36" s="35">
        <f>O36</f>
        <v>0</v>
      </c>
      <c r="BH36" s="35">
        <f>G36*AO36</f>
        <v>0</v>
      </c>
      <c r="BI36" s="35">
        <f>G36*AP36</f>
        <v>0</v>
      </c>
      <c r="BJ36" s="35">
        <f>G36*H36</f>
        <v>0</v>
      </c>
      <c r="BK36" s="35"/>
      <c r="BL36" s="35">
        <v>12</v>
      </c>
      <c r="BW36" s="35" t="str">
        <f>I36</f>
        <v>21</v>
      </c>
      <c r="BX36" s="4" t="s">
        <v>111</v>
      </c>
    </row>
    <row r="37" spans="1:76" ht="14.6" x14ac:dyDescent="0.4">
      <c r="A37" s="38"/>
      <c r="D37" s="40" t="s">
        <v>112</v>
      </c>
      <c r="E37" s="41" t="s">
        <v>56</v>
      </c>
      <c r="G37" s="42">
        <v>6</v>
      </c>
      <c r="P37" s="43"/>
    </row>
    <row r="38" spans="1:76" ht="14.6" x14ac:dyDescent="0.4">
      <c r="A38" s="38"/>
      <c r="D38" s="40" t="s">
        <v>113</v>
      </c>
      <c r="E38" s="41" t="s">
        <v>56</v>
      </c>
      <c r="G38" s="42">
        <v>3.83</v>
      </c>
      <c r="P38" s="43"/>
    </row>
    <row r="39" spans="1:76" ht="14.6" x14ac:dyDescent="0.4">
      <c r="A39" s="38"/>
      <c r="D39" s="40" t="s">
        <v>114</v>
      </c>
      <c r="E39" s="41" t="s">
        <v>56</v>
      </c>
      <c r="G39" s="42">
        <v>2.4500000000000002</v>
      </c>
      <c r="P39" s="43"/>
    </row>
    <row r="40" spans="1:76" ht="14.6" x14ac:dyDescent="0.4">
      <c r="A40" s="2" t="s">
        <v>59</v>
      </c>
      <c r="B40" s="3" t="s">
        <v>57</v>
      </c>
      <c r="C40" s="3" t="s">
        <v>115</v>
      </c>
      <c r="D40" s="83" t="s">
        <v>116</v>
      </c>
      <c r="E40" s="84"/>
      <c r="F40" s="3" t="s">
        <v>106</v>
      </c>
      <c r="G40" s="35">
        <v>12.28</v>
      </c>
      <c r="H40" s="82"/>
      <c r="I40" s="36" t="s">
        <v>65</v>
      </c>
      <c r="J40" s="35">
        <f>G40*AO40</f>
        <v>0</v>
      </c>
      <c r="K40" s="35">
        <f>G40*AP40</f>
        <v>0</v>
      </c>
      <c r="L40" s="35">
        <f>G40*H40</f>
        <v>0</v>
      </c>
      <c r="M40" s="35">
        <f>L40*(1+BW40/100)</f>
        <v>0</v>
      </c>
      <c r="N40" s="35">
        <v>0</v>
      </c>
      <c r="O40" s="35">
        <f>G40*N40</f>
        <v>0</v>
      </c>
      <c r="P40" s="37" t="s">
        <v>66</v>
      </c>
      <c r="Z40" s="35">
        <f>IF(AQ40="5",BJ40,0)</f>
        <v>0</v>
      </c>
      <c r="AB40" s="35">
        <f>IF(AQ40="1",BH40,0)</f>
        <v>0</v>
      </c>
      <c r="AC40" s="35">
        <f>IF(AQ40="1",BI40,0)</f>
        <v>0</v>
      </c>
      <c r="AD40" s="35">
        <f>IF(AQ40="7",BH40,0)</f>
        <v>0</v>
      </c>
      <c r="AE40" s="35">
        <f>IF(AQ40="7",BI40,0)</f>
        <v>0</v>
      </c>
      <c r="AF40" s="35">
        <f>IF(AQ40="2",BH40,0)</f>
        <v>0</v>
      </c>
      <c r="AG40" s="35">
        <f>IF(AQ40="2",BI40,0)</f>
        <v>0</v>
      </c>
      <c r="AH40" s="35">
        <f>IF(AQ40="0",BJ40,0)</f>
        <v>0</v>
      </c>
      <c r="AI40" s="12" t="s">
        <v>57</v>
      </c>
      <c r="AJ40" s="35">
        <f>IF(AN40=0,L40,0)</f>
        <v>0</v>
      </c>
      <c r="AK40" s="35">
        <f>IF(AN40=12,L40,0)</f>
        <v>0</v>
      </c>
      <c r="AL40" s="35">
        <f>IF(AN40=21,L40,0)</f>
        <v>0</v>
      </c>
      <c r="AN40" s="35">
        <v>21</v>
      </c>
      <c r="AO40" s="35">
        <f>H40*0</f>
        <v>0</v>
      </c>
      <c r="AP40" s="35">
        <f>H40*(1-0)</f>
        <v>0</v>
      </c>
      <c r="AQ40" s="36" t="s">
        <v>61</v>
      </c>
      <c r="AV40" s="35">
        <f>AW40+AX40</f>
        <v>0</v>
      </c>
      <c r="AW40" s="35">
        <f>G40*AO40</f>
        <v>0</v>
      </c>
      <c r="AX40" s="35">
        <f>G40*AP40</f>
        <v>0</v>
      </c>
      <c r="AY40" s="36" t="s">
        <v>107</v>
      </c>
      <c r="AZ40" s="36" t="s">
        <v>68</v>
      </c>
      <c r="BA40" s="12" t="s">
        <v>69</v>
      </c>
      <c r="BC40" s="35">
        <f>AW40+AX40</f>
        <v>0</v>
      </c>
      <c r="BD40" s="35">
        <f>H40/(100-BE40)*100</f>
        <v>0</v>
      </c>
      <c r="BE40" s="35">
        <v>0</v>
      </c>
      <c r="BF40" s="35">
        <f>O40</f>
        <v>0</v>
      </c>
      <c r="BH40" s="35">
        <f>G40*AO40</f>
        <v>0</v>
      </c>
      <c r="BI40" s="35">
        <f>G40*AP40</f>
        <v>0</v>
      </c>
      <c r="BJ40" s="35">
        <f>G40*H40</f>
        <v>0</v>
      </c>
      <c r="BK40" s="35"/>
      <c r="BL40" s="35">
        <v>12</v>
      </c>
      <c r="BW40" s="35" t="str">
        <f>I40</f>
        <v>21</v>
      </c>
      <c r="BX40" s="4" t="s">
        <v>116</v>
      </c>
    </row>
    <row r="41" spans="1:76" ht="14.6" x14ac:dyDescent="0.4">
      <c r="A41" s="31" t="s">
        <v>56</v>
      </c>
      <c r="B41" s="32" t="s">
        <v>57</v>
      </c>
      <c r="C41" s="32" t="s">
        <v>117</v>
      </c>
      <c r="D41" s="92" t="s">
        <v>118</v>
      </c>
      <c r="E41" s="93"/>
      <c r="F41" s="33" t="s">
        <v>4</v>
      </c>
      <c r="G41" s="33" t="s">
        <v>4</v>
      </c>
      <c r="H41" s="33" t="s">
        <v>4</v>
      </c>
      <c r="I41" s="33" t="s">
        <v>4</v>
      </c>
      <c r="J41" s="1">
        <f>SUM(J42:J44)</f>
        <v>0</v>
      </c>
      <c r="K41" s="1">
        <f>SUM(K42:K44)</f>
        <v>0</v>
      </c>
      <c r="L41" s="1">
        <f>SUM(L42:L44)</f>
        <v>0</v>
      </c>
      <c r="M41" s="1">
        <f>SUM(M42:M44)</f>
        <v>0</v>
      </c>
      <c r="N41" s="12" t="s">
        <v>56</v>
      </c>
      <c r="O41" s="1">
        <f>SUM(O42:O44)</f>
        <v>0</v>
      </c>
      <c r="P41" s="34" t="s">
        <v>56</v>
      </c>
      <c r="AI41" s="12" t="s">
        <v>57</v>
      </c>
      <c r="AS41" s="1">
        <f>SUM(AJ42:AJ44)</f>
        <v>0</v>
      </c>
      <c r="AT41" s="1">
        <f>SUM(AK42:AK44)</f>
        <v>0</v>
      </c>
      <c r="AU41" s="1">
        <f>SUM(AL42:AL44)</f>
        <v>0</v>
      </c>
    </row>
    <row r="42" spans="1:76" ht="14.6" x14ac:dyDescent="0.4">
      <c r="A42" s="2" t="s">
        <v>101</v>
      </c>
      <c r="B42" s="3" t="s">
        <v>57</v>
      </c>
      <c r="C42" s="3" t="s">
        <v>119</v>
      </c>
      <c r="D42" s="83" t="s">
        <v>120</v>
      </c>
      <c r="E42" s="84"/>
      <c r="F42" s="3" t="s">
        <v>106</v>
      </c>
      <c r="G42" s="35">
        <v>8.75</v>
      </c>
      <c r="H42" s="82"/>
      <c r="I42" s="36" t="s">
        <v>65</v>
      </c>
      <c r="J42" s="35">
        <f>G42*AO42</f>
        <v>0</v>
      </c>
      <c r="K42" s="35">
        <f>G42*AP42</f>
        <v>0</v>
      </c>
      <c r="L42" s="35">
        <f>G42*H42</f>
        <v>0</v>
      </c>
      <c r="M42" s="35">
        <f>L42*(1+BW42/100)</f>
        <v>0</v>
      </c>
      <c r="N42" s="35">
        <v>0</v>
      </c>
      <c r="O42" s="35">
        <f>G42*N42</f>
        <v>0</v>
      </c>
      <c r="P42" s="37" t="s">
        <v>66</v>
      </c>
      <c r="Z42" s="35">
        <f>IF(AQ42="5",BJ42,0)</f>
        <v>0</v>
      </c>
      <c r="AB42" s="35">
        <f>IF(AQ42="1",BH42,0)</f>
        <v>0</v>
      </c>
      <c r="AC42" s="35">
        <f>IF(AQ42="1",BI42,0)</f>
        <v>0</v>
      </c>
      <c r="AD42" s="35">
        <f>IF(AQ42="7",BH42,0)</f>
        <v>0</v>
      </c>
      <c r="AE42" s="35">
        <f>IF(AQ42="7",BI42,0)</f>
        <v>0</v>
      </c>
      <c r="AF42" s="35">
        <f>IF(AQ42="2",BH42,0)</f>
        <v>0</v>
      </c>
      <c r="AG42" s="35">
        <f>IF(AQ42="2",BI42,0)</f>
        <v>0</v>
      </c>
      <c r="AH42" s="35">
        <f>IF(AQ42="0",BJ42,0)</f>
        <v>0</v>
      </c>
      <c r="AI42" s="12" t="s">
        <v>57</v>
      </c>
      <c r="AJ42" s="35">
        <f>IF(AN42=0,L42,0)</f>
        <v>0</v>
      </c>
      <c r="AK42" s="35">
        <f>IF(AN42=12,L42,0)</f>
        <v>0</v>
      </c>
      <c r="AL42" s="35">
        <f>IF(AN42=21,L42,0)</f>
        <v>0</v>
      </c>
      <c r="AN42" s="35">
        <v>21</v>
      </c>
      <c r="AO42" s="35">
        <f>H42*0</f>
        <v>0</v>
      </c>
      <c r="AP42" s="35">
        <f>H42*(1-0)</f>
        <v>0</v>
      </c>
      <c r="AQ42" s="36" t="s">
        <v>61</v>
      </c>
      <c r="AV42" s="35">
        <f>AW42+AX42</f>
        <v>0</v>
      </c>
      <c r="AW42" s="35">
        <f>G42*AO42</f>
        <v>0</v>
      </c>
      <c r="AX42" s="35">
        <f>G42*AP42</f>
        <v>0</v>
      </c>
      <c r="AY42" s="36" t="s">
        <v>121</v>
      </c>
      <c r="AZ42" s="36" t="s">
        <v>68</v>
      </c>
      <c r="BA42" s="12" t="s">
        <v>69</v>
      </c>
      <c r="BC42" s="35">
        <f>AW42+AX42</f>
        <v>0</v>
      </c>
      <c r="BD42" s="35">
        <f>H42/(100-BE42)*100</f>
        <v>0</v>
      </c>
      <c r="BE42" s="35">
        <v>0</v>
      </c>
      <c r="BF42" s="35">
        <f>O42</f>
        <v>0</v>
      </c>
      <c r="BH42" s="35">
        <f>G42*AO42</f>
        <v>0</v>
      </c>
      <c r="BI42" s="35">
        <f>G42*AP42</f>
        <v>0</v>
      </c>
      <c r="BJ42" s="35">
        <f>G42*H42</f>
        <v>0</v>
      </c>
      <c r="BK42" s="35"/>
      <c r="BL42" s="35">
        <v>17</v>
      </c>
      <c r="BW42" s="35" t="str">
        <f>I42</f>
        <v>21</v>
      </c>
      <c r="BX42" s="4" t="s">
        <v>120</v>
      </c>
    </row>
    <row r="43" spans="1:76" ht="14.6" x14ac:dyDescent="0.4">
      <c r="A43" s="38"/>
      <c r="D43" s="40" t="s">
        <v>122</v>
      </c>
      <c r="E43" s="41" t="s">
        <v>56</v>
      </c>
      <c r="G43" s="42">
        <v>8.75</v>
      </c>
      <c r="P43" s="43"/>
    </row>
    <row r="44" spans="1:76" ht="14.6" x14ac:dyDescent="0.4">
      <c r="A44" s="2" t="s">
        <v>123</v>
      </c>
      <c r="B44" s="3" t="s">
        <v>57</v>
      </c>
      <c r="C44" s="3" t="s">
        <v>124</v>
      </c>
      <c r="D44" s="83" t="s">
        <v>125</v>
      </c>
      <c r="E44" s="84"/>
      <c r="F44" s="3" t="s">
        <v>106</v>
      </c>
      <c r="G44" s="35">
        <v>5.35</v>
      </c>
      <c r="H44" s="82"/>
      <c r="I44" s="36" t="s">
        <v>65</v>
      </c>
      <c r="J44" s="35">
        <f>G44*AO44</f>
        <v>0</v>
      </c>
      <c r="K44" s="35">
        <f>G44*AP44</f>
        <v>0</v>
      </c>
      <c r="L44" s="35">
        <f>G44*H44</f>
        <v>0</v>
      </c>
      <c r="M44" s="35">
        <f>L44*(1+BW44/100)</f>
        <v>0</v>
      </c>
      <c r="N44" s="35">
        <v>0</v>
      </c>
      <c r="O44" s="35">
        <f>G44*N44</f>
        <v>0</v>
      </c>
      <c r="P44" s="37" t="s">
        <v>66</v>
      </c>
      <c r="Z44" s="35">
        <f>IF(AQ44="5",BJ44,0)</f>
        <v>0</v>
      </c>
      <c r="AB44" s="35">
        <f>IF(AQ44="1",BH44,0)</f>
        <v>0</v>
      </c>
      <c r="AC44" s="35">
        <f>IF(AQ44="1",BI44,0)</f>
        <v>0</v>
      </c>
      <c r="AD44" s="35">
        <f>IF(AQ44="7",BH44,0)</f>
        <v>0</v>
      </c>
      <c r="AE44" s="35">
        <f>IF(AQ44="7",BI44,0)</f>
        <v>0</v>
      </c>
      <c r="AF44" s="35">
        <f>IF(AQ44="2",BH44,0)</f>
        <v>0</v>
      </c>
      <c r="AG44" s="35">
        <f>IF(AQ44="2",BI44,0)</f>
        <v>0</v>
      </c>
      <c r="AH44" s="35">
        <f>IF(AQ44="0",BJ44,0)</f>
        <v>0</v>
      </c>
      <c r="AI44" s="12" t="s">
        <v>57</v>
      </c>
      <c r="AJ44" s="35">
        <f>IF(AN44=0,L44,0)</f>
        <v>0</v>
      </c>
      <c r="AK44" s="35">
        <f>IF(AN44=12,L44,0)</f>
        <v>0</v>
      </c>
      <c r="AL44" s="35">
        <f>IF(AN44=21,L44,0)</f>
        <v>0</v>
      </c>
      <c r="AN44" s="35">
        <v>21</v>
      </c>
      <c r="AO44" s="35">
        <f>H44*0</f>
        <v>0</v>
      </c>
      <c r="AP44" s="35">
        <f>H44*(1-0)</f>
        <v>0</v>
      </c>
      <c r="AQ44" s="36" t="s">
        <v>61</v>
      </c>
      <c r="AV44" s="35">
        <f>AW44+AX44</f>
        <v>0</v>
      </c>
      <c r="AW44" s="35">
        <f>G44*AO44</f>
        <v>0</v>
      </c>
      <c r="AX44" s="35">
        <f>G44*AP44</f>
        <v>0</v>
      </c>
      <c r="AY44" s="36" t="s">
        <v>121</v>
      </c>
      <c r="AZ44" s="36" t="s">
        <v>68</v>
      </c>
      <c r="BA44" s="12" t="s">
        <v>69</v>
      </c>
      <c r="BC44" s="35">
        <f>AW44+AX44</f>
        <v>0</v>
      </c>
      <c r="BD44" s="35">
        <f>H44/(100-BE44)*100</f>
        <v>0</v>
      </c>
      <c r="BE44" s="35">
        <v>0</v>
      </c>
      <c r="BF44" s="35">
        <f>O44</f>
        <v>0</v>
      </c>
      <c r="BH44" s="35">
        <f>G44*AO44</f>
        <v>0</v>
      </c>
      <c r="BI44" s="35">
        <f>G44*AP44</f>
        <v>0</v>
      </c>
      <c r="BJ44" s="35">
        <f>G44*H44</f>
        <v>0</v>
      </c>
      <c r="BK44" s="35"/>
      <c r="BL44" s="35">
        <v>17</v>
      </c>
      <c r="BW44" s="35" t="str">
        <f>I44</f>
        <v>21</v>
      </c>
      <c r="BX44" s="4" t="s">
        <v>125</v>
      </c>
    </row>
    <row r="45" spans="1:76" ht="13.5" customHeight="1" x14ac:dyDescent="0.4">
      <c r="A45" s="38"/>
      <c r="C45" s="39" t="s">
        <v>73</v>
      </c>
      <c r="D45" s="94" t="s">
        <v>126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6"/>
    </row>
    <row r="46" spans="1:76" ht="14.6" x14ac:dyDescent="0.4">
      <c r="A46" s="38"/>
      <c r="D46" s="40" t="s">
        <v>127</v>
      </c>
      <c r="E46" s="41" t="s">
        <v>56</v>
      </c>
      <c r="G46" s="42">
        <v>5.35</v>
      </c>
      <c r="P46" s="43"/>
    </row>
    <row r="47" spans="1:76" ht="14.6" x14ac:dyDescent="0.4">
      <c r="A47" s="31" t="s">
        <v>56</v>
      </c>
      <c r="B47" s="32" t="s">
        <v>57</v>
      </c>
      <c r="C47" s="32" t="s">
        <v>128</v>
      </c>
      <c r="D47" s="92" t="s">
        <v>129</v>
      </c>
      <c r="E47" s="93"/>
      <c r="F47" s="33" t="s">
        <v>4</v>
      </c>
      <c r="G47" s="33" t="s">
        <v>4</v>
      </c>
      <c r="H47" s="33" t="s">
        <v>4</v>
      </c>
      <c r="I47" s="33" t="s">
        <v>4</v>
      </c>
      <c r="J47" s="1">
        <f>SUM(J48:J55)</f>
        <v>0</v>
      </c>
      <c r="K47" s="1">
        <f>SUM(K48:K55)</f>
        <v>0</v>
      </c>
      <c r="L47" s="1">
        <f>SUM(L48:L55)</f>
        <v>0</v>
      </c>
      <c r="M47" s="1">
        <f>SUM(M48:M55)</f>
        <v>0</v>
      </c>
      <c r="N47" s="12" t="s">
        <v>56</v>
      </c>
      <c r="O47" s="1">
        <f>SUM(O48:O55)</f>
        <v>0</v>
      </c>
      <c r="P47" s="34" t="s">
        <v>56</v>
      </c>
      <c r="AI47" s="12" t="s">
        <v>57</v>
      </c>
      <c r="AS47" s="1">
        <f>SUM(AJ48:AJ55)</f>
        <v>0</v>
      </c>
      <c r="AT47" s="1">
        <f>SUM(AK48:AK55)</f>
        <v>0</v>
      </c>
      <c r="AU47" s="1">
        <f>SUM(AL48:AL55)</f>
        <v>0</v>
      </c>
    </row>
    <row r="48" spans="1:76" ht="14.6" x14ac:dyDescent="0.4">
      <c r="A48" s="2" t="s">
        <v>130</v>
      </c>
      <c r="B48" s="3" t="s">
        <v>57</v>
      </c>
      <c r="C48" s="3" t="s">
        <v>131</v>
      </c>
      <c r="D48" s="83" t="s">
        <v>132</v>
      </c>
      <c r="E48" s="84"/>
      <c r="F48" s="3" t="s">
        <v>64</v>
      </c>
      <c r="G48" s="35">
        <v>30</v>
      </c>
      <c r="H48" s="82"/>
      <c r="I48" s="36" t="s">
        <v>65</v>
      </c>
      <c r="J48" s="35">
        <f>G48*AO48</f>
        <v>0</v>
      </c>
      <c r="K48" s="35">
        <f>G48*AP48</f>
        <v>0</v>
      </c>
      <c r="L48" s="35">
        <f>G48*H48</f>
        <v>0</v>
      </c>
      <c r="M48" s="35">
        <f>L48*(1+BW48/100)</f>
        <v>0</v>
      </c>
      <c r="N48" s="35">
        <v>0</v>
      </c>
      <c r="O48" s="35">
        <f>G48*N48</f>
        <v>0</v>
      </c>
      <c r="P48" s="37" t="s">
        <v>66</v>
      </c>
      <c r="Z48" s="35">
        <f>IF(AQ48="5",BJ48,0)</f>
        <v>0</v>
      </c>
      <c r="AB48" s="35">
        <f>IF(AQ48="1",BH48,0)</f>
        <v>0</v>
      </c>
      <c r="AC48" s="35">
        <f>IF(AQ48="1",BI48,0)</f>
        <v>0</v>
      </c>
      <c r="AD48" s="35">
        <f>IF(AQ48="7",BH48,0)</f>
        <v>0</v>
      </c>
      <c r="AE48" s="35">
        <f>IF(AQ48="7",BI48,0)</f>
        <v>0</v>
      </c>
      <c r="AF48" s="35">
        <f>IF(AQ48="2",BH48,0)</f>
        <v>0</v>
      </c>
      <c r="AG48" s="35">
        <f>IF(AQ48="2",BI48,0)</f>
        <v>0</v>
      </c>
      <c r="AH48" s="35">
        <f>IF(AQ48="0",BJ48,0)</f>
        <v>0</v>
      </c>
      <c r="AI48" s="12" t="s">
        <v>57</v>
      </c>
      <c r="AJ48" s="35">
        <f>IF(AN48=0,L48,0)</f>
        <v>0</v>
      </c>
      <c r="AK48" s="35">
        <f>IF(AN48=12,L48,0)</f>
        <v>0</v>
      </c>
      <c r="AL48" s="35">
        <f>IF(AN48=21,L48,0)</f>
        <v>0</v>
      </c>
      <c r="AN48" s="35">
        <v>21</v>
      </c>
      <c r="AO48" s="35">
        <f>H48*0.072542373</f>
        <v>0</v>
      </c>
      <c r="AP48" s="35">
        <f>H48*(1-0.072542373)</f>
        <v>0</v>
      </c>
      <c r="AQ48" s="36" t="s">
        <v>61</v>
      </c>
      <c r="AV48" s="35">
        <f>AW48+AX48</f>
        <v>0</v>
      </c>
      <c r="AW48" s="35">
        <f>G48*AO48</f>
        <v>0</v>
      </c>
      <c r="AX48" s="35">
        <f>G48*AP48</f>
        <v>0</v>
      </c>
      <c r="AY48" s="36" t="s">
        <v>133</v>
      </c>
      <c r="AZ48" s="36" t="s">
        <v>68</v>
      </c>
      <c r="BA48" s="12" t="s">
        <v>69</v>
      </c>
      <c r="BC48" s="35">
        <f>AW48+AX48</f>
        <v>0</v>
      </c>
      <c r="BD48" s="35">
        <f>H48/(100-BE48)*100</f>
        <v>0</v>
      </c>
      <c r="BE48" s="35">
        <v>0</v>
      </c>
      <c r="BF48" s="35">
        <f>O48</f>
        <v>0</v>
      </c>
      <c r="BH48" s="35">
        <f>G48*AO48</f>
        <v>0</v>
      </c>
      <c r="BI48" s="35">
        <f>G48*AP48</f>
        <v>0</v>
      </c>
      <c r="BJ48" s="35">
        <f>G48*H48</f>
        <v>0</v>
      </c>
      <c r="BK48" s="35"/>
      <c r="BL48" s="35">
        <v>18</v>
      </c>
      <c r="BW48" s="35" t="str">
        <f>I48</f>
        <v>21</v>
      </c>
      <c r="BX48" s="4" t="s">
        <v>132</v>
      </c>
    </row>
    <row r="49" spans="1:76" ht="14.6" x14ac:dyDescent="0.4">
      <c r="A49" s="2" t="s">
        <v>134</v>
      </c>
      <c r="B49" s="3" t="s">
        <v>57</v>
      </c>
      <c r="C49" s="3" t="s">
        <v>135</v>
      </c>
      <c r="D49" s="83" t="s">
        <v>136</v>
      </c>
      <c r="E49" s="84"/>
      <c r="F49" s="3" t="s">
        <v>64</v>
      </c>
      <c r="G49" s="35">
        <v>90</v>
      </c>
      <c r="H49" s="82"/>
      <c r="I49" s="36" t="s">
        <v>65</v>
      </c>
      <c r="J49" s="35">
        <f>G49*AO49</f>
        <v>0</v>
      </c>
      <c r="K49" s="35">
        <f>G49*AP49</f>
        <v>0</v>
      </c>
      <c r="L49" s="35">
        <f>G49*H49</f>
        <v>0</v>
      </c>
      <c r="M49" s="35">
        <f>L49*(1+BW49/100)</f>
        <v>0</v>
      </c>
      <c r="N49" s="35">
        <v>0</v>
      </c>
      <c r="O49" s="35">
        <f>G49*N49</f>
        <v>0</v>
      </c>
      <c r="P49" s="37" t="s">
        <v>66</v>
      </c>
      <c r="Z49" s="35">
        <f>IF(AQ49="5",BJ49,0)</f>
        <v>0</v>
      </c>
      <c r="AB49" s="35">
        <f>IF(AQ49="1",BH49,0)</f>
        <v>0</v>
      </c>
      <c r="AC49" s="35">
        <f>IF(AQ49="1",BI49,0)</f>
        <v>0</v>
      </c>
      <c r="AD49" s="35">
        <f>IF(AQ49="7",BH49,0)</f>
        <v>0</v>
      </c>
      <c r="AE49" s="35">
        <f>IF(AQ49="7",BI49,0)</f>
        <v>0</v>
      </c>
      <c r="AF49" s="35">
        <f>IF(AQ49="2",BH49,0)</f>
        <v>0</v>
      </c>
      <c r="AG49" s="35">
        <f>IF(AQ49="2",BI49,0)</f>
        <v>0</v>
      </c>
      <c r="AH49" s="35">
        <f>IF(AQ49="0",BJ49,0)</f>
        <v>0</v>
      </c>
      <c r="AI49" s="12" t="s">
        <v>57</v>
      </c>
      <c r="AJ49" s="35">
        <f>IF(AN49=0,L49,0)</f>
        <v>0</v>
      </c>
      <c r="AK49" s="35">
        <f>IF(AN49=12,L49,0)</f>
        <v>0</v>
      </c>
      <c r="AL49" s="35">
        <f>IF(AN49=21,L49,0)</f>
        <v>0</v>
      </c>
      <c r="AN49" s="35">
        <v>21</v>
      </c>
      <c r="AO49" s="35">
        <f>H49*0.03626504</f>
        <v>0</v>
      </c>
      <c r="AP49" s="35">
        <f>H49*(1-0.03626504)</f>
        <v>0</v>
      </c>
      <c r="AQ49" s="36" t="s">
        <v>61</v>
      </c>
      <c r="AV49" s="35">
        <f>AW49+AX49</f>
        <v>0</v>
      </c>
      <c r="AW49" s="35">
        <f>G49*AO49</f>
        <v>0</v>
      </c>
      <c r="AX49" s="35">
        <f>G49*AP49</f>
        <v>0</v>
      </c>
      <c r="AY49" s="36" t="s">
        <v>133</v>
      </c>
      <c r="AZ49" s="36" t="s">
        <v>68</v>
      </c>
      <c r="BA49" s="12" t="s">
        <v>69</v>
      </c>
      <c r="BC49" s="35">
        <f>AW49+AX49</f>
        <v>0</v>
      </c>
      <c r="BD49" s="35">
        <f>H49/(100-BE49)*100</f>
        <v>0</v>
      </c>
      <c r="BE49" s="35">
        <v>0</v>
      </c>
      <c r="BF49" s="35">
        <f>O49</f>
        <v>0</v>
      </c>
      <c r="BH49" s="35">
        <f>G49*AO49</f>
        <v>0</v>
      </c>
      <c r="BI49" s="35">
        <f>G49*AP49</f>
        <v>0</v>
      </c>
      <c r="BJ49" s="35">
        <f>G49*H49</f>
        <v>0</v>
      </c>
      <c r="BK49" s="35"/>
      <c r="BL49" s="35">
        <v>18</v>
      </c>
      <c r="BW49" s="35" t="str">
        <f>I49</f>
        <v>21</v>
      </c>
      <c r="BX49" s="4" t="s">
        <v>136</v>
      </c>
    </row>
    <row r="50" spans="1:76" ht="14.6" x14ac:dyDescent="0.4">
      <c r="A50" s="2" t="s">
        <v>137</v>
      </c>
      <c r="B50" s="3" t="s">
        <v>57</v>
      </c>
      <c r="C50" s="3" t="s">
        <v>138</v>
      </c>
      <c r="D50" s="83" t="s">
        <v>139</v>
      </c>
      <c r="E50" s="84"/>
      <c r="F50" s="3" t="s">
        <v>64</v>
      </c>
      <c r="G50" s="35">
        <v>242.03</v>
      </c>
      <c r="H50" s="82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</v>
      </c>
      <c r="O50" s="35">
        <f>G50*N50</f>
        <v>0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</f>
        <v>0</v>
      </c>
      <c r="AP50" s="35">
        <f>H50*(1-0)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133</v>
      </c>
      <c r="AZ50" s="36" t="s">
        <v>68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0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18</v>
      </c>
      <c r="BW50" s="35" t="str">
        <f>I50</f>
        <v>21</v>
      </c>
      <c r="BX50" s="4" t="s">
        <v>139</v>
      </c>
    </row>
    <row r="51" spans="1:76" ht="14.6" x14ac:dyDescent="0.4">
      <c r="A51" s="38"/>
      <c r="D51" s="40" t="s">
        <v>140</v>
      </c>
      <c r="E51" s="41" t="s">
        <v>56</v>
      </c>
      <c r="G51" s="42">
        <v>242.03</v>
      </c>
      <c r="P51" s="43"/>
    </row>
    <row r="52" spans="1:76" ht="14.6" x14ac:dyDescent="0.4">
      <c r="A52" s="2" t="s">
        <v>117</v>
      </c>
      <c r="B52" s="3" t="s">
        <v>57</v>
      </c>
      <c r="C52" s="3" t="s">
        <v>141</v>
      </c>
      <c r="D52" s="83" t="s">
        <v>142</v>
      </c>
      <c r="E52" s="84"/>
      <c r="F52" s="3" t="s">
        <v>64</v>
      </c>
      <c r="G52" s="35">
        <v>30</v>
      </c>
      <c r="H52" s="82"/>
      <c r="I52" s="36" t="s">
        <v>65</v>
      </c>
      <c r="J52" s="35">
        <f>G52*AO52</f>
        <v>0</v>
      </c>
      <c r="K52" s="35">
        <f>G52*AP52</f>
        <v>0</v>
      </c>
      <c r="L52" s="35">
        <f>G52*H52</f>
        <v>0</v>
      </c>
      <c r="M52" s="35">
        <f>L52*(1+BW52/100)</f>
        <v>0</v>
      </c>
      <c r="N52" s="35">
        <v>0</v>
      </c>
      <c r="O52" s="35">
        <f>G52*N52</f>
        <v>0</v>
      </c>
      <c r="P52" s="37" t="s">
        <v>66</v>
      </c>
      <c r="Z52" s="35">
        <f>IF(AQ52="5",BJ52,0)</f>
        <v>0</v>
      </c>
      <c r="AB52" s="35">
        <f>IF(AQ52="1",BH52,0)</f>
        <v>0</v>
      </c>
      <c r="AC52" s="35">
        <f>IF(AQ52="1",BI52,0)</f>
        <v>0</v>
      </c>
      <c r="AD52" s="35">
        <f>IF(AQ52="7",BH52,0)</f>
        <v>0</v>
      </c>
      <c r="AE52" s="35">
        <f>IF(AQ52="7",BI52,0)</f>
        <v>0</v>
      </c>
      <c r="AF52" s="35">
        <f>IF(AQ52="2",BH52,0)</f>
        <v>0</v>
      </c>
      <c r="AG52" s="35">
        <f>IF(AQ52="2",BI52,0)</f>
        <v>0</v>
      </c>
      <c r="AH52" s="35">
        <f>IF(AQ52="0",BJ52,0)</f>
        <v>0</v>
      </c>
      <c r="AI52" s="12" t="s">
        <v>57</v>
      </c>
      <c r="AJ52" s="35">
        <f>IF(AN52=0,L52,0)</f>
        <v>0</v>
      </c>
      <c r="AK52" s="35">
        <f>IF(AN52=12,L52,0)</f>
        <v>0</v>
      </c>
      <c r="AL52" s="35">
        <f>IF(AN52=21,L52,0)</f>
        <v>0</v>
      </c>
      <c r="AN52" s="35">
        <v>21</v>
      </c>
      <c r="AO52" s="35">
        <f>H52*0</f>
        <v>0</v>
      </c>
      <c r="AP52" s="35">
        <f>H52*(1-0)</f>
        <v>0</v>
      </c>
      <c r="AQ52" s="36" t="s">
        <v>61</v>
      </c>
      <c r="AV52" s="35">
        <f>AW52+AX52</f>
        <v>0</v>
      </c>
      <c r="AW52" s="35">
        <f>G52*AO52</f>
        <v>0</v>
      </c>
      <c r="AX52" s="35">
        <f>G52*AP52</f>
        <v>0</v>
      </c>
      <c r="AY52" s="36" t="s">
        <v>133</v>
      </c>
      <c r="AZ52" s="36" t="s">
        <v>68</v>
      </c>
      <c r="BA52" s="12" t="s">
        <v>69</v>
      </c>
      <c r="BC52" s="35">
        <f>AW52+AX52</f>
        <v>0</v>
      </c>
      <c r="BD52" s="35">
        <f>H52/(100-BE52)*100</f>
        <v>0</v>
      </c>
      <c r="BE52" s="35">
        <v>0</v>
      </c>
      <c r="BF52" s="35">
        <f>O52</f>
        <v>0</v>
      </c>
      <c r="BH52" s="35">
        <f>G52*AO52</f>
        <v>0</v>
      </c>
      <c r="BI52" s="35">
        <f>G52*AP52</f>
        <v>0</v>
      </c>
      <c r="BJ52" s="35">
        <f>G52*H52</f>
        <v>0</v>
      </c>
      <c r="BK52" s="35"/>
      <c r="BL52" s="35">
        <v>18</v>
      </c>
      <c r="BW52" s="35" t="str">
        <f>I52</f>
        <v>21</v>
      </c>
      <c r="BX52" s="4" t="s">
        <v>142</v>
      </c>
    </row>
    <row r="53" spans="1:76" ht="14.6" x14ac:dyDescent="0.4">
      <c r="A53" s="2" t="s">
        <v>128</v>
      </c>
      <c r="B53" s="3" t="s">
        <v>57</v>
      </c>
      <c r="C53" s="3" t="s">
        <v>143</v>
      </c>
      <c r="D53" s="83" t="s">
        <v>144</v>
      </c>
      <c r="E53" s="84"/>
      <c r="F53" s="3" t="s">
        <v>64</v>
      </c>
      <c r="G53" s="35">
        <v>102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</v>
      </c>
      <c r="O53" s="35">
        <f>G53*N53</f>
        <v>0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</f>
        <v>0</v>
      </c>
      <c r="AP53" s="35">
        <f>H53*(1-0)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133</v>
      </c>
      <c r="AZ53" s="36" t="s">
        <v>68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0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18</v>
      </c>
      <c r="BW53" s="35" t="str">
        <f>I53</f>
        <v>21</v>
      </c>
      <c r="BX53" s="4" t="s">
        <v>144</v>
      </c>
    </row>
    <row r="54" spans="1:76" ht="14.6" x14ac:dyDescent="0.4">
      <c r="A54" s="38"/>
      <c r="D54" s="40" t="s">
        <v>145</v>
      </c>
      <c r="E54" s="41" t="s">
        <v>56</v>
      </c>
      <c r="G54" s="42">
        <v>102</v>
      </c>
      <c r="P54" s="43"/>
    </row>
    <row r="55" spans="1:76" ht="14.6" x14ac:dyDescent="0.4">
      <c r="A55" s="2" t="s">
        <v>146</v>
      </c>
      <c r="B55" s="3" t="s">
        <v>57</v>
      </c>
      <c r="C55" s="3" t="s">
        <v>147</v>
      </c>
      <c r="D55" s="83" t="s">
        <v>148</v>
      </c>
      <c r="E55" s="84"/>
      <c r="F55" s="3" t="s">
        <v>64</v>
      </c>
      <c r="G55" s="35">
        <v>90</v>
      </c>
      <c r="H55" s="82"/>
      <c r="I55" s="36" t="s">
        <v>65</v>
      </c>
      <c r="J55" s="35">
        <f>G55*AO55</f>
        <v>0</v>
      </c>
      <c r="K55" s="35">
        <f>G55*AP55</f>
        <v>0</v>
      </c>
      <c r="L55" s="35">
        <f>G55*H55</f>
        <v>0</v>
      </c>
      <c r="M55" s="35">
        <f>L55*(1+BW55/100)</f>
        <v>0</v>
      </c>
      <c r="N55" s="35">
        <v>0</v>
      </c>
      <c r="O55" s="35">
        <f>G55*N55</f>
        <v>0</v>
      </c>
      <c r="P55" s="37" t="s">
        <v>66</v>
      </c>
      <c r="Z55" s="35">
        <f>IF(AQ55="5",BJ55,0)</f>
        <v>0</v>
      </c>
      <c r="AB55" s="35">
        <f>IF(AQ55="1",BH55,0)</f>
        <v>0</v>
      </c>
      <c r="AC55" s="35">
        <f>IF(AQ55="1",BI55,0)</f>
        <v>0</v>
      </c>
      <c r="AD55" s="35">
        <f>IF(AQ55="7",BH55,0)</f>
        <v>0</v>
      </c>
      <c r="AE55" s="35">
        <f>IF(AQ55="7",BI55,0)</f>
        <v>0</v>
      </c>
      <c r="AF55" s="35">
        <f>IF(AQ55="2",BH55,0)</f>
        <v>0</v>
      </c>
      <c r="AG55" s="35">
        <f>IF(AQ55="2",BI55,0)</f>
        <v>0</v>
      </c>
      <c r="AH55" s="35">
        <f>IF(AQ55="0",BJ55,0)</f>
        <v>0</v>
      </c>
      <c r="AI55" s="12" t="s">
        <v>57</v>
      </c>
      <c r="AJ55" s="35">
        <f>IF(AN55=0,L55,0)</f>
        <v>0</v>
      </c>
      <c r="AK55" s="35">
        <f>IF(AN55=12,L55,0)</f>
        <v>0</v>
      </c>
      <c r="AL55" s="35">
        <f>IF(AN55=21,L55,0)</f>
        <v>0</v>
      </c>
      <c r="AN55" s="35">
        <v>21</v>
      </c>
      <c r="AO55" s="35">
        <f>H55*0</f>
        <v>0</v>
      </c>
      <c r="AP55" s="35">
        <f>H55*(1-0)</f>
        <v>0</v>
      </c>
      <c r="AQ55" s="36" t="s">
        <v>61</v>
      </c>
      <c r="AV55" s="35">
        <f>AW55+AX55</f>
        <v>0</v>
      </c>
      <c r="AW55" s="35">
        <f>G55*AO55</f>
        <v>0</v>
      </c>
      <c r="AX55" s="35">
        <f>G55*AP55</f>
        <v>0</v>
      </c>
      <c r="AY55" s="36" t="s">
        <v>133</v>
      </c>
      <c r="AZ55" s="36" t="s">
        <v>68</v>
      </c>
      <c r="BA55" s="12" t="s">
        <v>69</v>
      </c>
      <c r="BC55" s="35">
        <f>AW55+AX55</f>
        <v>0</v>
      </c>
      <c r="BD55" s="35">
        <f>H55/(100-BE55)*100</f>
        <v>0</v>
      </c>
      <c r="BE55" s="35">
        <v>0</v>
      </c>
      <c r="BF55" s="35">
        <f>O55</f>
        <v>0</v>
      </c>
      <c r="BH55" s="35">
        <f>G55*AO55</f>
        <v>0</v>
      </c>
      <c r="BI55" s="35">
        <f>G55*AP55</f>
        <v>0</v>
      </c>
      <c r="BJ55" s="35">
        <f>G55*H55</f>
        <v>0</v>
      </c>
      <c r="BK55" s="35"/>
      <c r="BL55" s="35">
        <v>18</v>
      </c>
      <c r="BW55" s="35" t="str">
        <f>I55</f>
        <v>21</v>
      </c>
      <c r="BX55" s="4" t="s">
        <v>148</v>
      </c>
    </row>
    <row r="56" spans="1:76" ht="14.6" x14ac:dyDescent="0.4">
      <c r="A56" s="31" t="s">
        <v>56</v>
      </c>
      <c r="B56" s="32" t="s">
        <v>57</v>
      </c>
      <c r="C56" s="32" t="s">
        <v>149</v>
      </c>
      <c r="D56" s="92" t="s">
        <v>150</v>
      </c>
      <c r="E56" s="93"/>
      <c r="F56" s="33" t="s">
        <v>4</v>
      </c>
      <c r="G56" s="33" t="s">
        <v>4</v>
      </c>
      <c r="H56" s="33" t="s">
        <v>4</v>
      </c>
      <c r="I56" s="33" t="s">
        <v>4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2" t="s">
        <v>56</v>
      </c>
      <c r="O56" s="1">
        <f>SUM(O57:O57)</f>
        <v>2.8875000000000002</v>
      </c>
      <c r="P56" s="34" t="s">
        <v>56</v>
      </c>
      <c r="AI56" s="12" t="s">
        <v>57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ht="14.6" x14ac:dyDescent="0.4">
      <c r="A57" s="2" t="s">
        <v>151</v>
      </c>
      <c r="B57" s="3" t="s">
        <v>57</v>
      </c>
      <c r="C57" s="3" t="s">
        <v>152</v>
      </c>
      <c r="D57" s="83" t="s">
        <v>153</v>
      </c>
      <c r="E57" s="84"/>
      <c r="F57" s="3" t="s">
        <v>94</v>
      </c>
      <c r="G57" s="35">
        <v>15</v>
      </c>
      <c r="H57" s="82"/>
      <c r="I57" s="36" t="s">
        <v>65</v>
      </c>
      <c r="J57" s="35">
        <f>G57*AO57</f>
        <v>0</v>
      </c>
      <c r="K57" s="35">
        <f>G57*AP57</f>
        <v>0</v>
      </c>
      <c r="L57" s="35">
        <f>G57*H57</f>
        <v>0</v>
      </c>
      <c r="M57" s="35">
        <f>L57*(1+BW57/100)</f>
        <v>0</v>
      </c>
      <c r="N57" s="35">
        <v>0.1925</v>
      </c>
      <c r="O57" s="35">
        <f>G57*N57</f>
        <v>2.8875000000000002</v>
      </c>
      <c r="P57" s="37" t="s">
        <v>66</v>
      </c>
      <c r="Z57" s="35">
        <f>IF(AQ57="5",BJ57,0)</f>
        <v>0</v>
      </c>
      <c r="AB57" s="35">
        <f>IF(AQ57="1",BH57,0)</f>
        <v>0</v>
      </c>
      <c r="AC57" s="35">
        <f>IF(AQ57="1",BI57,0)</f>
        <v>0</v>
      </c>
      <c r="AD57" s="35">
        <f>IF(AQ57="7",BH57,0)</f>
        <v>0</v>
      </c>
      <c r="AE57" s="35">
        <f>IF(AQ57="7",BI57,0)</f>
        <v>0</v>
      </c>
      <c r="AF57" s="35">
        <f>IF(AQ57="2",BH57,0)</f>
        <v>0</v>
      </c>
      <c r="AG57" s="35">
        <f>IF(AQ57="2",BI57,0)</f>
        <v>0</v>
      </c>
      <c r="AH57" s="35">
        <f>IF(AQ57="0",BJ57,0)</f>
        <v>0</v>
      </c>
      <c r="AI57" s="12" t="s">
        <v>57</v>
      </c>
      <c r="AJ57" s="35">
        <f>IF(AN57=0,L57,0)</f>
        <v>0</v>
      </c>
      <c r="AK57" s="35">
        <f>IF(AN57=12,L57,0)</f>
        <v>0</v>
      </c>
      <c r="AL57" s="35">
        <f>IF(AN57=21,L57,0)</f>
        <v>0</v>
      </c>
      <c r="AN57" s="35">
        <v>21</v>
      </c>
      <c r="AO57" s="35">
        <f>H57*0.23635767</f>
        <v>0</v>
      </c>
      <c r="AP57" s="35">
        <f>H57*(1-0.23635767)</f>
        <v>0</v>
      </c>
      <c r="AQ57" s="36" t="s">
        <v>61</v>
      </c>
      <c r="AV57" s="35">
        <f>AW57+AX57</f>
        <v>0</v>
      </c>
      <c r="AW57" s="35">
        <f>G57*AO57</f>
        <v>0</v>
      </c>
      <c r="AX57" s="35">
        <f>G57*AP57</f>
        <v>0</v>
      </c>
      <c r="AY57" s="36" t="s">
        <v>154</v>
      </c>
      <c r="AZ57" s="36" t="s">
        <v>155</v>
      </c>
      <c r="BA57" s="12" t="s">
        <v>69</v>
      </c>
      <c r="BC57" s="35">
        <f>AW57+AX57</f>
        <v>0</v>
      </c>
      <c r="BD57" s="35">
        <f>H57/(100-BE57)*100</f>
        <v>0</v>
      </c>
      <c r="BE57" s="35">
        <v>0</v>
      </c>
      <c r="BF57" s="35">
        <f>O57</f>
        <v>2.8875000000000002</v>
      </c>
      <c r="BH57" s="35">
        <f>G57*AO57</f>
        <v>0</v>
      </c>
      <c r="BI57" s="35">
        <f>G57*AP57</f>
        <v>0</v>
      </c>
      <c r="BJ57" s="35">
        <f>G57*H57</f>
        <v>0</v>
      </c>
      <c r="BK57" s="35"/>
      <c r="BL57" s="35">
        <v>33</v>
      </c>
      <c r="BW57" s="35" t="str">
        <f>I57</f>
        <v>21</v>
      </c>
      <c r="BX57" s="4" t="s">
        <v>153</v>
      </c>
    </row>
    <row r="58" spans="1:76" ht="13.5" customHeight="1" x14ac:dyDescent="0.4">
      <c r="A58" s="38"/>
      <c r="C58" s="39" t="s">
        <v>73</v>
      </c>
      <c r="D58" s="94" t="s">
        <v>156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6"/>
    </row>
    <row r="59" spans="1:76" ht="14.6" x14ac:dyDescent="0.4">
      <c r="A59" s="31" t="s">
        <v>56</v>
      </c>
      <c r="B59" s="32" t="s">
        <v>57</v>
      </c>
      <c r="C59" s="32" t="s">
        <v>157</v>
      </c>
      <c r="D59" s="92" t="s">
        <v>158</v>
      </c>
      <c r="E59" s="93"/>
      <c r="F59" s="33" t="s">
        <v>4</v>
      </c>
      <c r="G59" s="33" t="s">
        <v>4</v>
      </c>
      <c r="H59" s="33" t="s">
        <v>4</v>
      </c>
      <c r="I59" s="33" t="s">
        <v>4</v>
      </c>
      <c r="J59" s="1">
        <f>SUM(J60:J73)</f>
        <v>0</v>
      </c>
      <c r="K59" s="1">
        <f>SUM(K60:K73)</f>
        <v>0</v>
      </c>
      <c r="L59" s="1">
        <f>SUM(L60:L73)</f>
        <v>0</v>
      </c>
      <c r="M59" s="1">
        <f>SUM(M60:M73)</f>
        <v>0</v>
      </c>
      <c r="N59" s="12" t="s">
        <v>56</v>
      </c>
      <c r="O59" s="1">
        <f>SUM(O60:O73)</f>
        <v>142.07855999999998</v>
      </c>
      <c r="P59" s="34" t="s">
        <v>56</v>
      </c>
      <c r="AI59" s="12" t="s">
        <v>57</v>
      </c>
      <c r="AS59" s="1">
        <f>SUM(AJ60:AJ73)</f>
        <v>0</v>
      </c>
      <c r="AT59" s="1">
        <f>SUM(AK60:AK73)</f>
        <v>0</v>
      </c>
      <c r="AU59" s="1">
        <f>SUM(AL60:AL73)</f>
        <v>0</v>
      </c>
    </row>
    <row r="60" spans="1:76" ht="14.6" x14ac:dyDescent="0.4">
      <c r="A60" s="2" t="s">
        <v>65</v>
      </c>
      <c r="B60" s="3" t="s">
        <v>57</v>
      </c>
      <c r="C60" s="3" t="s">
        <v>159</v>
      </c>
      <c r="D60" s="83" t="s">
        <v>160</v>
      </c>
      <c r="E60" s="84"/>
      <c r="F60" s="3" t="s">
        <v>64</v>
      </c>
      <c r="G60" s="35">
        <v>14</v>
      </c>
      <c r="H60" s="82"/>
      <c r="I60" s="36" t="s">
        <v>65</v>
      </c>
      <c r="J60" s="35">
        <f>G60*AO60</f>
        <v>0</v>
      </c>
      <c r="K60" s="35">
        <f>G60*AP60</f>
        <v>0</v>
      </c>
      <c r="L60" s="35">
        <f>G60*H60</f>
        <v>0</v>
      </c>
      <c r="M60" s="35">
        <f>L60*(1+BW60/100)</f>
        <v>0</v>
      </c>
      <c r="N60" s="35">
        <v>0.105</v>
      </c>
      <c r="O60" s="35">
        <f>G60*N60</f>
        <v>1.47</v>
      </c>
      <c r="P60" s="37" t="s">
        <v>66</v>
      </c>
      <c r="Z60" s="35">
        <f>IF(AQ60="5",BJ60,0)</f>
        <v>0</v>
      </c>
      <c r="AB60" s="35">
        <f>IF(AQ60="1",BH60,0)</f>
        <v>0</v>
      </c>
      <c r="AC60" s="35">
        <f>IF(AQ60="1",BI60,0)</f>
        <v>0</v>
      </c>
      <c r="AD60" s="35">
        <f>IF(AQ60="7",BH60,0)</f>
        <v>0</v>
      </c>
      <c r="AE60" s="35">
        <f>IF(AQ60="7",BI60,0)</f>
        <v>0</v>
      </c>
      <c r="AF60" s="35">
        <f>IF(AQ60="2",BH60,0)</f>
        <v>0</v>
      </c>
      <c r="AG60" s="35">
        <f>IF(AQ60="2",BI60,0)</f>
        <v>0</v>
      </c>
      <c r="AH60" s="35">
        <f>IF(AQ60="0",BJ60,0)</f>
        <v>0</v>
      </c>
      <c r="AI60" s="12" t="s">
        <v>57</v>
      </c>
      <c r="AJ60" s="35">
        <f>IF(AN60=0,L60,0)</f>
        <v>0</v>
      </c>
      <c r="AK60" s="35">
        <f>IF(AN60=12,L60,0)</f>
        <v>0</v>
      </c>
      <c r="AL60" s="35">
        <f>IF(AN60=21,L60,0)</f>
        <v>0</v>
      </c>
      <c r="AN60" s="35">
        <v>21</v>
      </c>
      <c r="AO60" s="35">
        <f>H60*0.601550388</f>
        <v>0</v>
      </c>
      <c r="AP60" s="35">
        <f>H60*(1-0.601550388)</f>
        <v>0</v>
      </c>
      <c r="AQ60" s="36" t="s">
        <v>61</v>
      </c>
      <c r="AV60" s="35">
        <f>AW60+AX60</f>
        <v>0</v>
      </c>
      <c r="AW60" s="35">
        <f>G60*AO60</f>
        <v>0</v>
      </c>
      <c r="AX60" s="35">
        <f>G60*AP60</f>
        <v>0</v>
      </c>
      <c r="AY60" s="36" t="s">
        <v>161</v>
      </c>
      <c r="AZ60" s="36" t="s">
        <v>162</v>
      </c>
      <c r="BA60" s="12" t="s">
        <v>69</v>
      </c>
      <c r="BC60" s="35">
        <f>AW60+AX60</f>
        <v>0</v>
      </c>
      <c r="BD60" s="35">
        <f>H60/(100-BE60)*100</f>
        <v>0</v>
      </c>
      <c r="BE60" s="35">
        <v>0</v>
      </c>
      <c r="BF60" s="35">
        <f>O60</f>
        <v>1.47</v>
      </c>
      <c r="BH60" s="35">
        <f>G60*AO60</f>
        <v>0</v>
      </c>
      <c r="BI60" s="35">
        <f>G60*AP60</f>
        <v>0</v>
      </c>
      <c r="BJ60" s="35">
        <f>G60*H60</f>
        <v>0</v>
      </c>
      <c r="BK60" s="35"/>
      <c r="BL60" s="35">
        <v>56</v>
      </c>
      <c r="BW60" s="35" t="str">
        <f>I60</f>
        <v>21</v>
      </c>
      <c r="BX60" s="4" t="s">
        <v>160</v>
      </c>
    </row>
    <row r="61" spans="1:76" ht="13.5" customHeight="1" x14ac:dyDescent="0.4">
      <c r="A61" s="38"/>
      <c r="C61" s="39" t="s">
        <v>73</v>
      </c>
      <c r="D61" s="94" t="s">
        <v>163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6"/>
    </row>
    <row r="62" spans="1:76" ht="14.6" x14ac:dyDescent="0.4">
      <c r="A62" s="38"/>
      <c r="D62" s="40" t="s">
        <v>164</v>
      </c>
      <c r="E62" s="41" t="s">
        <v>56</v>
      </c>
      <c r="G62" s="42">
        <v>14</v>
      </c>
      <c r="P62" s="43"/>
    </row>
    <row r="63" spans="1:76" ht="13.5" customHeight="1" x14ac:dyDescent="0.4">
      <c r="A63" s="38"/>
      <c r="C63" s="44" t="s">
        <v>165</v>
      </c>
      <c r="D63" s="89" t="s">
        <v>166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1"/>
    </row>
    <row r="64" spans="1:76" ht="14.6" x14ac:dyDescent="0.4">
      <c r="A64" s="2" t="s">
        <v>167</v>
      </c>
      <c r="B64" s="3" t="s">
        <v>57</v>
      </c>
      <c r="C64" s="3" t="s">
        <v>168</v>
      </c>
      <c r="D64" s="83" t="s">
        <v>169</v>
      </c>
      <c r="E64" s="84"/>
      <c r="F64" s="3" t="s">
        <v>64</v>
      </c>
      <c r="G64" s="35">
        <v>111.63</v>
      </c>
      <c r="H64" s="82"/>
      <c r="I64" s="36" t="s">
        <v>65</v>
      </c>
      <c r="J64" s="35">
        <f>G64*AO64</f>
        <v>0</v>
      </c>
      <c r="K64" s="35">
        <f>G64*AP64</f>
        <v>0</v>
      </c>
      <c r="L64" s="35">
        <f>G64*H64</f>
        <v>0</v>
      </c>
      <c r="M64" s="35">
        <f>L64*(1+BW64/100)</f>
        <v>0</v>
      </c>
      <c r="N64" s="35">
        <v>0.17199999999999999</v>
      </c>
      <c r="O64" s="35">
        <f>G64*N64</f>
        <v>19.200359999999996</v>
      </c>
      <c r="P64" s="37" t="s">
        <v>66</v>
      </c>
      <c r="Z64" s="35">
        <f>IF(AQ64="5",BJ64,0)</f>
        <v>0</v>
      </c>
      <c r="AB64" s="35">
        <f>IF(AQ64="1",BH64,0)</f>
        <v>0</v>
      </c>
      <c r="AC64" s="35">
        <f>IF(AQ64="1",BI64,0)</f>
        <v>0</v>
      </c>
      <c r="AD64" s="35">
        <f>IF(AQ64="7",BH64,0)</f>
        <v>0</v>
      </c>
      <c r="AE64" s="35">
        <f>IF(AQ64="7",BI64,0)</f>
        <v>0</v>
      </c>
      <c r="AF64" s="35">
        <f>IF(AQ64="2",BH64,0)</f>
        <v>0</v>
      </c>
      <c r="AG64" s="35">
        <f>IF(AQ64="2",BI64,0)</f>
        <v>0</v>
      </c>
      <c r="AH64" s="35">
        <f>IF(AQ64="0",BJ64,0)</f>
        <v>0</v>
      </c>
      <c r="AI64" s="12" t="s">
        <v>57</v>
      </c>
      <c r="AJ64" s="35">
        <f>IF(AN64=0,L64,0)</f>
        <v>0</v>
      </c>
      <c r="AK64" s="35">
        <f>IF(AN64=12,L64,0)</f>
        <v>0</v>
      </c>
      <c r="AL64" s="35">
        <f>IF(AN64=21,L64,0)</f>
        <v>0</v>
      </c>
      <c r="AN64" s="35">
        <v>21</v>
      </c>
      <c r="AO64" s="35">
        <f>H64*0.789327731</f>
        <v>0</v>
      </c>
      <c r="AP64" s="35">
        <f>H64*(1-0.789327731)</f>
        <v>0</v>
      </c>
      <c r="AQ64" s="36" t="s">
        <v>61</v>
      </c>
      <c r="AV64" s="35">
        <f>AW64+AX64</f>
        <v>0</v>
      </c>
      <c r="AW64" s="35">
        <f>G64*AO64</f>
        <v>0</v>
      </c>
      <c r="AX64" s="35">
        <f>G64*AP64</f>
        <v>0</v>
      </c>
      <c r="AY64" s="36" t="s">
        <v>161</v>
      </c>
      <c r="AZ64" s="36" t="s">
        <v>162</v>
      </c>
      <c r="BA64" s="12" t="s">
        <v>69</v>
      </c>
      <c r="BC64" s="35">
        <f>AW64+AX64</f>
        <v>0</v>
      </c>
      <c r="BD64" s="35">
        <f>H64/(100-BE64)*100</f>
        <v>0</v>
      </c>
      <c r="BE64" s="35">
        <v>0</v>
      </c>
      <c r="BF64" s="35">
        <f>O64</f>
        <v>19.200359999999996</v>
      </c>
      <c r="BH64" s="35">
        <f>G64*AO64</f>
        <v>0</v>
      </c>
      <c r="BI64" s="35">
        <f>G64*AP64</f>
        <v>0</v>
      </c>
      <c r="BJ64" s="35">
        <f>G64*H64</f>
        <v>0</v>
      </c>
      <c r="BK64" s="35"/>
      <c r="BL64" s="35">
        <v>56</v>
      </c>
      <c r="BW64" s="35" t="str">
        <f>I64</f>
        <v>21</v>
      </c>
      <c r="BX64" s="4" t="s">
        <v>169</v>
      </c>
    </row>
    <row r="65" spans="1:76" ht="13.5" customHeight="1" x14ac:dyDescent="0.4">
      <c r="A65" s="38"/>
      <c r="C65" s="39" t="s">
        <v>73</v>
      </c>
      <c r="D65" s="94" t="s">
        <v>170</v>
      </c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6"/>
    </row>
    <row r="66" spans="1:76" ht="14.6" x14ac:dyDescent="0.4">
      <c r="A66" s="38"/>
      <c r="D66" s="40" t="s">
        <v>171</v>
      </c>
      <c r="E66" s="41" t="s">
        <v>56</v>
      </c>
      <c r="G66" s="42">
        <v>111.63</v>
      </c>
      <c r="P66" s="43"/>
    </row>
    <row r="67" spans="1:76" ht="14.6" x14ac:dyDescent="0.4">
      <c r="A67" s="2" t="s">
        <v>172</v>
      </c>
      <c r="B67" s="3" t="s">
        <v>57</v>
      </c>
      <c r="C67" s="3" t="s">
        <v>173</v>
      </c>
      <c r="D67" s="83" t="s">
        <v>174</v>
      </c>
      <c r="E67" s="84"/>
      <c r="F67" s="3" t="s">
        <v>64</v>
      </c>
      <c r="G67" s="35">
        <v>21.1</v>
      </c>
      <c r="H67" s="82"/>
      <c r="I67" s="36" t="s">
        <v>65</v>
      </c>
      <c r="J67" s="35">
        <f>G67*AO67</f>
        <v>0</v>
      </c>
      <c r="K67" s="35">
        <f>G67*AP67</f>
        <v>0</v>
      </c>
      <c r="L67" s="35">
        <f>G67*H67</f>
        <v>0</v>
      </c>
      <c r="M67" s="35">
        <f>L67*(1+BW67/100)</f>
        <v>0</v>
      </c>
      <c r="N67" s="35">
        <v>9.1999999999999998E-2</v>
      </c>
      <c r="O67" s="35">
        <f>G67*N67</f>
        <v>1.9412</v>
      </c>
      <c r="P67" s="37" t="s">
        <v>66</v>
      </c>
      <c r="Z67" s="35">
        <f>IF(AQ67="5",BJ67,0)</f>
        <v>0</v>
      </c>
      <c r="AB67" s="35">
        <f>IF(AQ67="1",BH67,0)</f>
        <v>0</v>
      </c>
      <c r="AC67" s="35">
        <f>IF(AQ67="1",BI67,0)</f>
        <v>0</v>
      </c>
      <c r="AD67" s="35">
        <f>IF(AQ67="7",BH67,0)</f>
        <v>0</v>
      </c>
      <c r="AE67" s="35">
        <f>IF(AQ67="7",BI67,0)</f>
        <v>0</v>
      </c>
      <c r="AF67" s="35">
        <f>IF(AQ67="2",BH67,0)</f>
        <v>0</v>
      </c>
      <c r="AG67" s="35">
        <f>IF(AQ67="2",BI67,0)</f>
        <v>0</v>
      </c>
      <c r="AH67" s="35">
        <f>IF(AQ67="0",BJ67,0)</f>
        <v>0</v>
      </c>
      <c r="AI67" s="12" t="s">
        <v>57</v>
      </c>
      <c r="AJ67" s="35">
        <f>IF(AN67=0,L67,0)</f>
        <v>0</v>
      </c>
      <c r="AK67" s="35">
        <f>IF(AN67=12,L67,0)</f>
        <v>0</v>
      </c>
      <c r="AL67" s="35">
        <f>IF(AN67=21,L67,0)</f>
        <v>0</v>
      </c>
      <c r="AN67" s="35">
        <v>21</v>
      </c>
      <c r="AO67" s="35">
        <f>H67*0.588038774</f>
        <v>0</v>
      </c>
      <c r="AP67" s="35">
        <f>H67*(1-0.588038774)</f>
        <v>0</v>
      </c>
      <c r="AQ67" s="36" t="s">
        <v>61</v>
      </c>
      <c r="AV67" s="35">
        <f>AW67+AX67</f>
        <v>0</v>
      </c>
      <c r="AW67" s="35">
        <f>G67*AO67</f>
        <v>0</v>
      </c>
      <c r="AX67" s="35">
        <f>G67*AP67</f>
        <v>0</v>
      </c>
      <c r="AY67" s="36" t="s">
        <v>161</v>
      </c>
      <c r="AZ67" s="36" t="s">
        <v>162</v>
      </c>
      <c r="BA67" s="12" t="s">
        <v>69</v>
      </c>
      <c r="BC67" s="35">
        <f>AW67+AX67</f>
        <v>0</v>
      </c>
      <c r="BD67" s="35">
        <f>H67/(100-BE67)*100</f>
        <v>0</v>
      </c>
      <c r="BE67" s="35">
        <v>0</v>
      </c>
      <c r="BF67" s="35">
        <f>O67</f>
        <v>1.9412</v>
      </c>
      <c r="BH67" s="35">
        <f>G67*AO67</f>
        <v>0</v>
      </c>
      <c r="BI67" s="35">
        <f>G67*AP67</f>
        <v>0</v>
      </c>
      <c r="BJ67" s="35">
        <f>G67*H67</f>
        <v>0</v>
      </c>
      <c r="BK67" s="35"/>
      <c r="BL67" s="35">
        <v>56</v>
      </c>
      <c r="BW67" s="35" t="str">
        <f>I67</f>
        <v>21</v>
      </c>
      <c r="BX67" s="4" t="s">
        <v>174</v>
      </c>
    </row>
    <row r="68" spans="1:76" ht="13.5" customHeight="1" x14ac:dyDescent="0.4">
      <c r="A68" s="38"/>
      <c r="C68" s="39" t="s">
        <v>73</v>
      </c>
      <c r="D68" s="94" t="s">
        <v>175</v>
      </c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6"/>
    </row>
    <row r="69" spans="1:76" ht="14.6" x14ac:dyDescent="0.4">
      <c r="A69" s="38"/>
      <c r="D69" s="40" t="s">
        <v>176</v>
      </c>
      <c r="E69" s="41" t="s">
        <v>56</v>
      </c>
      <c r="G69" s="42">
        <v>21.1</v>
      </c>
      <c r="P69" s="43"/>
    </row>
    <row r="70" spans="1:76" ht="14.6" x14ac:dyDescent="0.4">
      <c r="A70" s="2" t="s">
        <v>177</v>
      </c>
      <c r="B70" s="3" t="s">
        <v>57</v>
      </c>
      <c r="C70" s="3" t="s">
        <v>178</v>
      </c>
      <c r="D70" s="83" t="s">
        <v>179</v>
      </c>
      <c r="E70" s="84"/>
      <c r="F70" s="3" t="s">
        <v>64</v>
      </c>
      <c r="G70" s="35">
        <v>7</v>
      </c>
      <c r="H70" s="82"/>
      <c r="I70" s="36" t="s">
        <v>65</v>
      </c>
      <c r="J70" s="35">
        <f>G70*AO70</f>
        <v>0</v>
      </c>
      <c r="K70" s="35">
        <f>G70*AP70</f>
        <v>0</v>
      </c>
      <c r="L70" s="35">
        <f>G70*H70</f>
        <v>0</v>
      </c>
      <c r="M70" s="35">
        <f>L70*(1+BW70/100)</f>
        <v>0</v>
      </c>
      <c r="N70" s="35">
        <v>0.441</v>
      </c>
      <c r="O70" s="35">
        <f>G70*N70</f>
        <v>3.0870000000000002</v>
      </c>
      <c r="P70" s="37" t="s">
        <v>66</v>
      </c>
      <c r="Z70" s="35">
        <f>IF(AQ70="5",BJ70,0)</f>
        <v>0</v>
      </c>
      <c r="AB70" s="35">
        <f>IF(AQ70="1",BH70,0)</f>
        <v>0</v>
      </c>
      <c r="AC70" s="35">
        <f>IF(AQ70="1",BI70,0)</f>
        <v>0</v>
      </c>
      <c r="AD70" s="35">
        <f>IF(AQ70="7",BH70,0)</f>
        <v>0</v>
      </c>
      <c r="AE70" s="35">
        <f>IF(AQ70="7",BI70,0)</f>
        <v>0</v>
      </c>
      <c r="AF70" s="35">
        <f>IF(AQ70="2",BH70,0)</f>
        <v>0</v>
      </c>
      <c r="AG70" s="35">
        <f>IF(AQ70="2",BI70,0)</f>
        <v>0</v>
      </c>
      <c r="AH70" s="35">
        <f>IF(AQ70="0",BJ70,0)</f>
        <v>0</v>
      </c>
      <c r="AI70" s="12" t="s">
        <v>57</v>
      </c>
      <c r="AJ70" s="35">
        <f>IF(AN70=0,L70,0)</f>
        <v>0</v>
      </c>
      <c r="AK70" s="35">
        <f>IF(AN70=12,L70,0)</f>
        <v>0</v>
      </c>
      <c r="AL70" s="35">
        <f>IF(AN70=21,L70,0)</f>
        <v>0</v>
      </c>
      <c r="AN70" s="35">
        <v>21</v>
      </c>
      <c r="AO70" s="35">
        <f>H70*0.84595186</f>
        <v>0</v>
      </c>
      <c r="AP70" s="35">
        <f>H70*(1-0.84595186)</f>
        <v>0</v>
      </c>
      <c r="AQ70" s="36" t="s">
        <v>61</v>
      </c>
      <c r="AV70" s="35">
        <f>AW70+AX70</f>
        <v>0</v>
      </c>
      <c r="AW70" s="35">
        <f>G70*AO70</f>
        <v>0</v>
      </c>
      <c r="AX70" s="35">
        <f>G70*AP70</f>
        <v>0</v>
      </c>
      <c r="AY70" s="36" t="s">
        <v>161</v>
      </c>
      <c r="AZ70" s="36" t="s">
        <v>162</v>
      </c>
      <c r="BA70" s="12" t="s">
        <v>69</v>
      </c>
      <c r="BC70" s="35">
        <f>AW70+AX70</f>
        <v>0</v>
      </c>
      <c r="BD70" s="35">
        <f>H70/(100-BE70)*100</f>
        <v>0</v>
      </c>
      <c r="BE70" s="35">
        <v>0</v>
      </c>
      <c r="BF70" s="35">
        <f>O70</f>
        <v>3.0870000000000002</v>
      </c>
      <c r="BH70" s="35">
        <f>G70*AO70</f>
        <v>0</v>
      </c>
      <c r="BI70" s="35">
        <f>G70*AP70</f>
        <v>0</v>
      </c>
      <c r="BJ70" s="35">
        <f>G70*H70</f>
        <v>0</v>
      </c>
      <c r="BK70" s="35"/>
      <c r="BL70" s="35">
        <v>56</v>
      </c>
      <c r="BW70" s="35" t="str">
        <f>I70</f>
        <v>21</v>
      </c>
      <c r="BX70" s="4" t="s">
        <v>179</v>
      </c>
    </row>
    <row r="71" spans="1:76" ht="13.5" customHeight="1" x14ac:dyDescent="0.4">
      <c r="A71" s="38"/>
      <c r="C71" s="39" t="s">
        <v>73</v>
      </c>
      <c r="D71" s="94" t="s">
        <v>180</v>
      </c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6"/>
    </row>
    <row r="72" spans="1:76" ht="14.6" x14ac:dyDescent="0.4">
      <c r="A72" s="38"/>
      <c r="D72" s="40" t="s">
        <v>181</v>
      </c>
      <c r="E72" s="41" t="s">
        <v>56</v>
      </c>
      <c r="G72" s="42">
        <v>7</v>
      </c>
      <c r="P72" s="43"/>
    </row>
    <row r="73" spans="1:76" ht="14.6" x14ac:dyDescent="0.4">
      <c r="A73" s="2" t="s">
        <v>182</v>
      </c>
      <c r="B73" s="3" t="s">
        <v>57</v>
      </c>
      <c r="C73" s="3" t="s">
        <v>183</v>
      </c>
      <c r="D73" s="83" t="s">
        <v>184</v>
      </c>
      <c r="E73" s="84"/>
      <c r="F73" s="3" t="s">
        <v>64</v>
      </c>
      <c r="G73" s="35">
        <v>202.4</v>
      </c>
      <c r="H73" s="82"/>
      <c r="I73" s="36" t="s">
        <v>65</v>
      </c>
      <c r="J73" s="35">
        <f>G73*AO73</f>
        <v>0</v>
      </c>
      <c r="K73" s="35">
        <f>G73*AP73</f>
        <v>0</v>
      </c>
      <c r="L73" s="35">
        <f>G73*H73</f>
        <v>0</v>
      </c>
      <c r="M73" s="35">
        <f>L73*(1+BW73/100)</f>
        <v>0</v>
      </c>
      <c r="N73" s="35">
        <v>0.57499999999999996</v>
      </c>
      <c r="O73" s="35">
        <f>G73*N73</f>
        <v>116.38</v>
      </c>
      <c r="P73" s="37" t="s">
        <v>66</v>
      </c>
      <c r="Z73" s="35">
        <f>IF(AQ73="5",BJ73,0)</f>
        <v>0</v>
      </c>
      <c r="AB73" s="35">
        <f>IF(AQ73="1",BH73,0)</f>
        <v>0</v>
      </c>
      <c r="AC73" s="35">
        <f>IF(AQ73="1",BI73,0)</f>
        <v>0</v>
      </c>
      <c r="AD73" s="35">
        <f>IF(AQ73="7",BH73,0)</f>
        <v>0</v>
      </c>
      <c r="AE73" s="35">
        <f>IF(AQ73="7",BI73,0)</f>
        <v>0</v>
      </c>
      <c r="AF73" s="35">
        <f>IF(AQ73="2",BH73,0)</f>
        <v>0</v>
      </c>
      <c r="AG73" s="35">
        <f>IF(AQ73="2",BI73,0)</f>
        <v>0</v>
      </c>
      <c r="AH73" s="35">
        <f>IF(AQ73="0",BJ73,0)</f>
        <v>0</v>
      </c>
      <c r="AI73" s="12" t="s">
        <v>57</v>
      </c>
      <c r="AJ73" s="35">
        <f>IF(AN73=0,L73,0)</f>
        <v>0</v>
      </c>
      <c r="AK73" s="35">
        <f>IF(AN73=12,L73,0)</f>
        <v>0</v>
      </c>
      <c r="AL73" s="35">
        <f>IF(AN73=21,L73,0)</f>
        <v>0</v>
      </c>
      <c r="AN73" s="35">
        <v>21</v>
      </c>
      <c r="AO73" s="35">
        <f>H73*0.876315581</f>
        <v>0</v>
      </c>
      <c r="AP73" s="35">
        <f>H73*(1-0.876315581)</f>
        <v>0</v>
      </c>
      <c r="AQ73" s="36" t="s">
        <v>61</v>
      </c>
      <c r="AV73" s="35">
        <f>AW73+AX73</f>
        <v>0</v>
      </c>
      <c r="AW73" s="35">
        <f>G73*AO73</f>
        <v>0</v>
      </c>
      <c r="AX73" s="35">
        <f>G73*AP73</f>
        <v>0</v>
      </c>
      <c r="AY73" s="36" t="s">
        <v>161</v>
      </c>
      <c r="AZ73" s="36" t="s">
        <v>162</v>
      </c>
      <c r="BA73" s="12" t="s">
        <v>69</v>
      </c>
      <c r="BC73" s="35">
        <f>AW73+AX73</f>
        <v>0</v>
      </c>
      <c r="BD73" s="35">
        <f>H73/(100-BE73)*100</f>
        <v>0</v>
      </c>
      <c r="BE73" s="35">
        <v>0</v>
      </c>
      <c r="BF73" s="35">
        <f>O73</f>
        <v>116.38</v>
      </c>
      <c r="BH73" s="35">
        <f>G73*AO73</f>
        <v>0</v>
      </c>
      <c r="BI73" s="35">
        <f>G73*AP73</f>
        <v>0</v>
      </c>
      <c r="BJ73" s="35">
        <f>G73*H73</f>
        <v>0</v>
      </c>
      <c r="BK73" s="35"/>
      <c r="BL73" s="35">
        <v>56</v>
      </c>
      <c r="BW73" s="35" t="str">
        <f>I73</f>
        <v>21</v>
      </c>
      <c r="BX73" s="4" t="s">
        <v>184</v>
      </c>
    </row>
    <row r="74" spans="1:76" ht="14.6" x14ac:dyDescent="0.4">
      <c r="A74" s="38"/>
      <c r="D74" s="40" t="s">
        <v>185</v>
      </c>
      <c r="E74" s="41" t="s">
        <v>56</v>
      </c>
      <c r="G74" s="42">
        <v>202.4</v>
      </c>
      <c r="P74" s="43"/>
    </row>
    <row r="75" spans="1:76" ht="14.6" x14ac:dyDescent="0.4">
      <c r="A75" s="31" t="s">
        <v>56</v>
      </c>
      <c r="B75" s="32" t="s">
        <v>57</v>
      </c>
      <c r="C75" s="32" t="s">
        <v>186</v>
      </c>
      <c r="D75" s="92" t="s">
        <v>187</v>
      </c>
      <c r="E75" s="93"/>
      <c r="F75" s="33" t="s">
        <v>4</v>
      </c>
      <c r="G75" s="33" t="s">
        <v>4</v>
      </c>
      <c r="H75" s="33" t="s">
        <v>4</v>
      </c>
      <c r="I75" s="33" t="s">
        <v>4</v>
      </c>
      <c r="J75" s="1">
        <f>SUM(J76:J77)</f>
        <v>0</v>
      </c>
      <c r="K75" s="1">
        <f>SUM(K76:K77)</f>
        <v>0</v>
      </c>
      <c r="L75" s="1">
        <f>SUM(L76:L77)</f>
        <v>0</v>
      </c>
      <c r="M75" s="1">
        <f>SUM(M76:M77)</f>
        <v>0</v>
      </c>
      <c r="N75" s="12" t="s">
        <v>56</v>
      </c>
      <c r="O75" s="1">
        <f>SUM(O76:O77)</f>
        <v>41.460429999999995</v>
      </c>
      <c r="P75" s="34" t="s">
        <v>56</v>
      </c>
      <c r="AI75" s="12" t="s">
        <v>57</v>
      </c>
      <c r="AS75" s="1">
        <f>SUM(AJ76:AJ77)</f>
        <v>0</v>
      </c>
      <c r="AT75" s="1">
        <f>SUM(AK76:AK77)</f>
        <v>0</v>
      </c>
      <c r="AU75" s="1">
        <f>SUM(AL76:AL77)</f>
        <v>0</v>
      </c>
    </row>
    <row r="76" spans="1:76" ht="14.6" x14ac:dyDescent="0.4">
      <c r="A76" s="2" t="s">
        <v>188</v>
      </c>
      <c r="B76" s="3" t="s">
        <v>57</v>
      </c>
      <c r="C76" s="3" t="s">
        <v>189</v>
      </c>
      <c r="D76" s="83" t="s">
        <v>190</v>
      </c>
      <c r="E76" s="84"/>
      <c r="F76" s="3" t="s">
        <v>64</v>
      </c>
      <c r="G76" s="35">
        <v>319</v>
      </c>
      <c r="H76" s="82"/>
      <c r="I76" s="36" t="s">
        <v>65</v>
      </c>
      <c r="J76" s="35">
        <f>G76*AO76</f>
        <v>0</v>
      </c>
      <c r="K76" s="35">
        <f>G76*AP76</f>
        <v>0</v>
      </c>
      <c r="L76" s="35">
        <f>G76*H76</f>
        <v>0</v>
      </c>
      <c r="M76" s="35">
        <f>L76*(1+BW76/100)</f>
        <v>0</v>
      </c>
      <c r="N76" s="35">
        <v>3.1E-4</v>
      </c>
      <c r="O76" s="35">
        <f>G76*N76</f>
        <v>9.8890000000000006E-2</v>
      </c>
      <c r="P76" s="37" t="s">
        <v>191</v>
      </c>
      <c r="Z76" s="35">
        <f>IF(AQ76="5",BJ76,0)</f>
        <v>0</v>
      </c>
      <c r="AB76" s="35">
        <f>IF(AQ76="1",BH76,0)</f>
        <v>0</v>
      </c>
      <c r="AC76" s="35">
        <f>IF(AQ76="1",BI76,0)</f>
        <v>0</v>
      </c>
      <c r="AD76" s="35">
        <f>IF(AQ76="7",BH76,0)</f>
        <v>0</v>
      </c>
      <c r="AE76" s="35">
        <f>IF(AQ76="7",BI76,0)</f>
        <v>0</v>
      </c>
      <c r="AF76" s="35">
        <f>IF(AQ76="2",BH76,0)</f>
        <v>0</v>
      </c>
      <c r="AG76" s="35">
        <f>IF(AQ76="2",BI76,0)</f>
        <v>0</v>
      </c>
      <c r="AH76" s="35">
        <f>IF(AQ76="0",BJ76,0)</f>
        <v>0</v>
      </c>
      <c r="AI76" s="12" t="s">
        <v>57</v>
      </c>
      <c r="AJ76" s="35">
        <f>IF(AN76=0,L76,0)</f>
        <v>0</v>
      </c>
      <c r="AK76" s="35">
        <f>IF(AN76=12,L76,0)</f>
        <v>0</v>
      </c>
      <c r="AL76" s="35">
        <f>IF(AN76=21,L76,0)</f>
        <v>0</v>
      </c>
      <c r="AN76" s="35">
        <v>21</v>
      </c>
      <c r="AO76" s="35">
        <f>H76*0.869374314</f>
        <v>0</v>
      </c>
      <c r="AP76" s="35">
        <f>H76*(1-0.869374314)</f>
        <v>0</v>
      </c>
      <c r="AQ76" s="36" t="s">
        <v>61</v>
      </c>
      <c r="AV76" s="35">
        <f>AW76+AX76</f>
        <v>0</v>
      </c>
      <c r="AW76" s="35">
        <f>G76*AO76</f>
        <v>0</v>
      </c>
      <c r="AX76" s="35">
        <f>G76*AP76</f>
        <v>0</v>
      </c>
      <c r="AY76" s="36" t="s">
        <v>192</v>
      </c>
      <c r="AZ76" s="36" t="s">
        <v>162</v>
      </c>
      <c r="BA76" s="12" t="s">
        <v>69</v>
      </c>
      <c r="BC76" s="35">
        <f>AW76+AX76</f>
        <v>0</v>
      </c>
      <c r="BD76" s="35">
        <f>H76/(100-BE76)*100</f>
        <v>0</v>
      </c>
      <c r="BE76" s="35">
        <v>0</v>
      </c>
      <c r="BF76" s="35">
        <f>O76</f>
        <v>9.8890000000000006E-2</v>
      </c>
      <c r="BH76" s="35">
        <f>G76*AO76</f>
        <v>0</v>
      </c>
      <c r="BI76" s="35">
        <f>G76*AP76</f>
        <v>0</v>
      </c>
      <c r="BJ76" s="35">
        <f>G76*H76</f>
        <v>0</v>
      </c>
      <c r="BK76" s="35"/>
      <c r="BL76" s="35">
        <v>57</v>
      </c>
      <c r="BW76" s="35" t="str">
        <f>I76</f>
        <v>21</v>
      </c>
      <c r="BX76" s="4" t="s">
        <v>190</v>
      </c>
    </row>
    <row r="77" spans="1:76" ht="14.6" x14ac:dyDescent="0.4">
      <c r="A77" s="2" t="s">
        <v>193</v>
      </c>
      <c r="B77" s="3" t="s">
        <v>57</v>
      </c>
      <c r="C77" s="3" t="s">
        <v>194</v>
      </c>
      <c r="D77" s="83" t="s">
        <v>195</v>
      </c>
      <c r="E77" s="84"/>
      <c r="F77" s="3" t="s">
        <v>64</v>
      </c>
      <c r="G77" s="35">
        <v>319</v>
      </c>
      <c r="H77" s="82"/>
      <c r="I77" s="36" t="s">
        <v>65</v>
      </c>
      <c r="J77" s="35">
        <f>G77*AO77</f>
        <v>0</v>
      </c>
      <c r="K77" s="35">
        <f>G77*AP77</f>
        <v>0</v>
      </c>
      <c r="L77" s="35">
        <f>G77*H77</f>
        <v>0</v>
      </c>
      <c r="M77" s="35">
        <f>L77*(1+BW77/100)</f>
        <v>0</v>
      </c>
      <c r="N77" s="35">
        <v>0.12966</v>
      </c>
      <c r="O77" s="35">
        <f>G77*N77</f>
        <v>41.361539999999998</v>
      </c>
      <c r="P77" s="37" t="s">
        <v>66</v>
      </c>
      <c r="Z77" s="35">
        <f>IF(AQ77="5",BJ77,0)</f>
        <v>0</v>
      </c>
      <c r="AB77" s="35">
        <f>IF(AQ77="1",BH77,0)</f>
        <v>0</v>
      </c>
      <c r="AC77" s="35">
        <f>IF(AQ77="1",BI77,0)</f>
        <v>0</v>
      </c>
      <c r="AD77" s="35">
        <f>IF(AQ77="7",BH77,0)</f>
        <v>0</v>
      </c>
      <c r="AE77" s="35">
        <f>IF(AQ77="7",BI77,0)</f>
        <v>0</v>
      </c>
      <c r="AF77" s="35">
        <f>IF(AQ77="2",BH77,0)</f>
        <v>0</v>
      </c>
      <c r="AG77" s="35">
        <f>IF(AQ77="2",BI77,0)</f>
        <v>0</v>
      </c>
      <c r="AH77" s="35">
        <f>IF(AQ77="0",BJ77,0)</f>
        <v>0</v>
      </c>
      <c r="AI77" s="12" t="s">
        <v>57</v>
      </c>
      <c r="AJ77" s="35">
        <f>IF(AN77=0,L77,0)</f>
        <v>0</v>
      </c>
      <c r="AK77" s="35">
        <f>IF(AN77=12,L77,0)</f>
        <v>0</v>
      </c>
      <c r="AL77" s="35">
        <f>IF(AN77=21,L77,0)</f>
        <v>0</v>
      </c>
      <c r="AN77" s="35">
        <v>21</v>
      </c>
      <c r="AO77" s="35">
        <f>H77*0.66023556</f>
        <v>0</v>
      </c>
      <c r="AP77" s="35">
        <f>H77*(1-0.66023556)</f>
        <v>0</v>
      </c>
      <c r="AQ77" s="36" t="s">
        <v>61</v>
      </c>
      <c r="AV77" s="35">
        <f>AW77+AX77</f>
        <v>0</v>
      </c>
      <c r="AW77" s="35">
        <f>G77*AO77</f>
        <v>0</v>
      </c>
      <c r="AX77" s="35">
        <f>G77*AP77</f>
        <v>0</v>
      </c>
      <c r="AY77" s="36" t="s">
        <v>192</v>
      </c>
      <c r="AZ77" s="36" t="s">
        <v>162</v>
      </c>
      <c r="BA77" s="12" t="s">
        <v>69</v>
      </c>
      <c r="BC77" s="35">
        <f>AW77+AX77</f>
        <v>0</v>
      </c>
      <c r="BD77" s="35">
        <f>H77/(100-BE77)*100</f>
        <v>0</v>
      </c>
      <c r="BE77" s="35">
        <v>0</v>
      </c>
      <c r="BF77" s="35">
        <f>O77</f>
        <v>41.361539999999998</v>
      </c>
      <c r="BH77" s="35">
        <f>G77*AO77</f>
        <v>0</v>
      </c>
      <c r="BI77" s="35">
        <f>G77*AP77</f>
        <v>0</v>
      </c>
      <c r="BJ77" s="35">
        <f>G77*H77</f>
        <v>0</v>
      </c>
      <c r="BK77" s="35"/>
      <c r="BL77" s="35">
        <v>57</v>
      </c>
      <c r="BW77" s="35" t="str">
        <f>I77</f>
        <v>21</v>
      </c>
      <c r="BX77" s="4" t="s">
        <v>195</v>
      </c>
    </row>
    <row r="78" spans="1:76" ht="13.5" customHeight="1" x14ac:dyDescent="0.4">
      <c r="A78" s="38"/>
      <c r="C78" s="39" t="s">
        <v>73</v>
      </c>
      <c r="D78" s="94" t="s">
        <v>196</v>
      </c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6"/>
    </row>
    <row r="79" spans="1:76" ht="14.6" x14ac:dyDescent="0.4">
      <c r="A79" s="31" t="s">
        <v>56</v>
      </c>
      <c r="B79" s="32" t="s">
        <v>57</v>
      </c>
      <c r="C79" s="32" t="s">
        <v>197</v>
      </c>
      <c r="D79" s="92" t="s">
        <v>198</v>
      </c>
      <c r="E79" s="93"/>
      <c r="F79" s="33" t="s">
        <v>4</v>
      </c>
      <c r="G79" s="33" t="s">
        <v>4</v>
      </c>
      <c r="H79" s="33" t="s">
        <v>4</v>
      </c>
      <c r="I79" s="33" t="s">
        <v>4</v>
      </c>
      <c r="J79" s="1">
        <f>SUM(J80:J90)</f>
        <v>0</v>
      </c>
      <c r="K79" s="1">
        <f>SUM(K80:K90)</f>
        <v>0</v>
      </c>
      <c r="L79" s="1">
        <f>SUM(L80:L90)</f>
        <v>0</v>
      </c>
      <c r="M79" s="1">
        <f>SUM(M80:M90)</f>
        <v>0</v>
      </c>
      <c r="N79" s="12" t="s">
        <v>56</v>
      </c>
      <c r="O79" s="1">
        <f>SUM(O80:O90)</f>
        <v>16.568899999999999</v>
      </c>
      <c r="P79" s="34" t="s">
        <v>56</v>
      </c>
      <c r="AI79" s="12" t="s">
        <v>57</v>
      </c>
      <c r="AS79" s="1">
        <f>SUM(AJ80:AJ90)</f>
        <v>0</v>
      </c>
      <c r="AT79" s="1">
        <f>SUM(AK80:AK90)</f>
        <v>0</v>
      </c>
      <c r="AU79" s="1">
        <f>SUM(AL80:AL90)</f>
        <v>0</v>
      </c>
    </row>
    <row r="80" spans="1:76" ht="14.6" x14ac:dyDescent="0.4">
      <c r="A80" s="2" t="s">
        <v>199</v>
      </c>
      <c r="B80" s="3" t="s">
        <v>57</v>
      </c>
      <c r="C80" s="3" t="s">
        <v>200</v>
      </c>
      <c r="D80" s="83" t="s">
        <v>201</v>
      </c>
      <c r="E80" s="84"/>
      <c r="F80" s="3" t="s">
        <v>64</v>
      </c>
      <c r="G80" s="35">
        <v>11.1</v>
      </c>
      <c r="H80" s="82"/>
      <c r="I80" s="36" t="s">
        <v>65</v>
      </c>
      <c r="J80" s="35">
        <f>G80*AO80</f>
        <v>0</v>
      </c>
      <c r="K80" s="35">
        <f>G80*AP80</f>
        <v>0</v>
      </c>
      <c r="L80" s="35">
        <f>G80*H80</f>
        <v>0</v>
      </c>
      <c r="M80" s="35">
        <f>L80*(1+BW80/100)</f>
        <v>0</v>
      </c>
      <c r="N80" s="35">
        <v>7.3899999999999993E-2</v>
      </c>
      <c r="O80" s="35">
        <f>G80*N80</f>
        <v>0.82028999999999985</v>
      </c>
      <c r="P80" s="37" t="s">
        <v>66</v>
      </c>
      <c r="Z80" s="35">
        <f>IF(AQ80="5",BJ80,0)</f>
        <v>0</v>
      </c>
      <c r="AB80" s="35">
        <f>IF(AQ80="1",BH80,0)</f>
        <v>0</v>
      </c>
      <c r="AC80" s="35">
        <f>IF(AQ80="1",BI80,0)</f>
        <v>0</v>
      </c>
      <c r="AD80" s="35">
        <f>IF(AQ80="7",BH80,0)</f>
        <v>0</v>
      </c>
      <c r="AE80" s="35">
        <f>IF(AQ80="7",BI80,0)</f>
        <v>0</v>
      </c>
      <c r="AF80" s="35">
        <f>IF(AQ80="2",BH80,0)</f>
        <v>0</v>
      </c>
      <c r="AG80" s="35">
        <f>IF(AQ80="2",BI80,0)</f>
        <v>0</v>
      </c>
      <c r="AH80" s="35">
        <f>IF(AQ80="0",BJ80,0)</f>
        <v>0</v>
      </c>
      <c r="AI80" s="12" t="s">
        <v>57</v>
      </c>
      <c r="AJ80" s="35">
        <f>IF(AN80=0,L80,0)</f>
        <v>0</v>
      </c>
      <c r="AK80" s="35">
        <f>IF(AN80=12,L80,0)</f>
        <v>0</v>
      </c>
      <c r="AL80" s="35">
        <f>IF(AN80=21,L80,0)</f>
        <v>0</v>
      </c>
      <c r="AN80" s="35">
        <v>21</v>
      </c>
      <c r="AO80" s="35">
        <f>H80*0.170541401</f>
        <v>0</v>
      </c>
      <c r="AP80" s="35">
        <f>H80*(1-0.170541401)</f>
        <v>0</v>
      </c>
      <c r="AQ80" s="36" t="s">
        <v>61</v>
      </c>
      <c r="AV80" s="35">
        <f>AW80+AX80</f>
        <v>0</v>
      </c>
      <c r="AW80" s="35">
        <f>G80*AO80</f>
        <v>0</v>
      </c>
      <c r="AX80" s="35">
        <f>G80*AP80</f>
        <v>0</v>
      </c>
      <c r="AY80" s="36" t="s">
        <v>202</v>
      </c>
      <c r="AZ80" s="36" t="s">
        <v>162</v>
      </c>
      <c r="BA80" s="12" t="s">
        <v>69</v>
      </c>
      <c r="BC80" s="35">
        <f>AW80+AX80</f>
        <v>0</v>
      </c>
      <c r="BD80" s="35">
        <f>H80/(100-BE80)*100</f>
        <v>0</v>
      </c>
      <c r="BE80" s="35">
        <v>0</v>
      </c>
      <c r="BF80" s="35">
        <f>O80</f>
        <v>0.82028999999999985</v>
      </c>
      <c r="BH80" s="35">
        <f>G80*AO80</f>
        <v>0</v>
      </c>
      <c r="BI80" s="35">
        <f>G80*AP80</f>
        <v>0</v>
      </c>
      <c r="BJ80" s="35">
        <f>G80*H80</f>
        <v>0</v>
      </c>
      <c r="BK80" s="35"/>
      <c r="BL80" s="35">
        <v>59</v>
      </c>
      <c r="BW80" s="35" t="str">
        <f>I80</f>
        <v>21</v>
      </c>
      <c r="BX80" s="4" t="s">
        <v>201</v>
      </c>
    </row>
    <row r="81" spans="1:76" ht="13.5" customHeight="1" x14ac:dyDescent="0.4">
      <c r="A81" s="38"/>
      <c r="C81" s="39" t="s">
        <v>73</v>
      </c>
      <c r="D81" s="94" t="s">
        <v>74</v>
      </c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6"/>
    </row>
    <row r="82" spans="1:76" ht="14.6" x14ac:dyDescent="0.4">
      <c r="A82" s="38"/>
      <c r="D82" s="40" t="s">
        <v>203</v>
      </c>
      <c r="E82" s="41" t="s">
        <v>56</v>
      </c>
      <c r="G82" s="42">
        <v>11.1</v>
      </c>
      <c r="P82" s="43"/>
    </row>
    <row r="83" spans="1:76" ht="14.6" x14ac:dyDescent="0.4">
      <c r="A83" s="2" t="s">
        <v>204</v>
      </c>
      <c r="B83" s="3" t="s">
        <v>57</v>
      </c>
      <c r="C83" s="3" t="s">
        <v>205</v>
      </c>
      <c r="D83" s="83" t="s">
        <v>206</v>
      </c>
      <c r="E83" s="84"/>
      <c r="F83" s="3" t="s">
        <v>64</v>
      </c>
      <c r="G83" s="35">
        <v>202.4</v>
      </c>
      <c r="H83" s="82"/>
      <c r="I83" s="36" t="s">
        <v>65</v>
      </c>
      <c r="J83" s="35">
        <f>G83*AO83</f>
        <v>0</v>
      </c>
      <c r="K83" s="35">
        <f>G83*AP83</f>
        <v>0</v>
      </c>
      <c r="L83" s="35">
        <f>G83*H83</f>
        <v>0</v>
      </c>
      <c r="M83" s="35">
        <f>L83*(1+BW83/100)</f>
        <v>0</v>
      </c>
      <c r="N83" s="35">
        <v>7.3899999999999993E-2</v>
      </c>
      <c r="O83" s="35">
        <f>G83*N83</f>
        <v>14.95736</v>
      </c>
      <c r="P83" s="37" t="s">
        <v>66</v>
      </c>
      <c r="Z83" s="35">
        <f>IF(AQ83="5",BJ83,0)</f>
        <v>0</v>
      </c>
      <c r="AB83" s="35">
        <f>IF(AQ83="1",BH83,0)</f>
        <v>0</v>
      </c>
      <c r="AC83" s="35">
        <f>IF(AQ83="1",BI83,0)</f>
        <v>0</v>
      </c>
      <c r="AD83" s="35">
        <f>IF(AQ83="7",BH83,0)</f>
        <v>0</v>
      </c>
      <c r="AE83" s="35">
        <f>IF(AQ83="7",BI83,0)</f>
        <v>0</v>
      </c>
      <c r="AF83" s="35">
        <f>IF(AQ83="2",BH83,0)</f>
        <v>0</v>
      </c>
      <c r="AG83" s="35">
        <f>IF(AQ83="2",BI83,0)</f>
        <v>0</v>
      </c>
      <c r="AH83" s="35">
        <f>IF(AQ83="0",BJ83,0)</f>
        <v>0</v>
      </c>
      <c r="AI83" s="12" t="s">
        <v>57</v>
      </c>
      <c r="AJ83" s="35">
        <f>IF(AN83=0,L83,0)</f>
        <v>0</v>
      </c>
      <c r="AK83" s="35">
        <f>IF(AN83=12,L83,0)</f>
        <v>0</v>
      </c>
      <c r="AL83" s="35">
        <f>IF(AN83=21,L83,0)</f>
        <v>0</v>
      </c>
      <c r="AN83" s="35">
        <v>21</v>
      </c>
      <c r="AO83" s="35">
        <f>H83*0.162272727</f>
        <v>0</v>
      </c>
      <c r="AP83" s="35">
        <f>H83*(1-0.162272727)</f>
        <v>0</v>
      </c>
      <c r="AQ83" s="36" t="s">
        <v>61</v>
      </c>
      <c r="AV83" s="35">
        <f>AW83+AX83</f>
        <v>0</v>
      </c>
      <c r="AW83" s="35">
        <f>G83*AO83</f>
        <v>0</v>
      </c>
      <c r="AX83" s="35">
        <f>G83*AP83</f>
        <v>0</v>
      </c>
      <c r="AY83" s="36" t="s">
        <v>202</v>
      </c>
      <c r="AZ83" s="36" t="s">
        <v>162</v>
      </c>
      <c r="BA83" s="12" t="s">
        <v>69</v>
      </c>
      <c r="BC83" s="35">
        <f>AW83+AX83</f>
        <v>0</v>
      </c>
      <c r="BD83" s="35">
        <f>H83/(100-BE83)*100</f>
        <v>0</v>
      </c>
      <c r="BE83" s="35">
        <v>0</v>
      </c>
      <c r="BF83" s="35">
        <f>O83</f>
        <v>14.95736</v>
      </c>
      <c r="BH83" s="35">
        <f>G83*AO83</f>
        <v>0</v>
      </c>
      <c r="BI83" s="35">
        <f>G83*AP83</f>
        <v>0</v>
      </c>
      <c r="BJ83" s="35">
        <f>G83*H83</f>
        <v>0</v>
      </c>
      <c r="BK83" s="35"/>
      <c r="BL83" s="35">
        <v>59</v>
      </c>
      <c r="BW83" s="35" t="str">
        <f>I83</f>
        <v>21</v>
      </c>
      <c r="BX83" s="4" t="s">
        <v>206</v>
      </c>
    </row>
    <row r="84" spans="1:76" ht="14.6" x14ac:dyDescent="0.4">
      <c r="A84" s="38"/>
      <c r="D84" s="40" t="s">
        <v>185</v>
      </c>
      <c r="E84" s="41" t="s">
        <v>56</v>
      </c>
      <c r="G84" s="42">
        <v>202.4</v>
      </c>
      <c r="P84" s="43"/>
    </row>
    <row r="85" spans="1:76" ht="14.6" x14ac:dyDescent="0.4">
      <c r="A85" s="2" t="s">
        <v>207</v>
      </c>
      <c r="B85" s="3" t="s">
        <v>57</v>
      </c>
      <c r="C85" s="3" t="s">
        <v>208</v>
      </c>
      <c r="D85" s="83" t="s">
        <v>209</v>
      </c>
      <c r="E85" s="84"/>
      <c r="F85" s="3" t="s">
        <v>94</v>
      </c>
      <c r="G85" s="35">
        <v>10</v>
      </c>
      <c r="H85" s="82"/>
      <c r="I85" s="36" t="s">
        <v>65</v>
      </c>
      <c r="J85" s="35">
        <f>G85*AO85</f>
        <v>0</v>
      </c>
      <c r="K85" s="35">
        <f>G85*AP85</f>
        <v>0</v>
      </c>
      <c r="L85" s="35">
        <f>G85*H85</f>
        <v>0</v>
      </c>
      <c r="M85" s="35">
        <f>L85*(1+BW85/100)</f>
        <v>0</v>
      </c>
      <c r="N85" s="35">
        <v>3.3E-4</v>
      </c>
      <c r="O85" s="35">
        <f>G85*N85</f>
        <v>3.3E-3</v>
      </c>
      <c r="P85" s="37" t="s">
        <v>66</v>
      </c>
      <c r="Z85" s="35">
        <f>IF(AQ85="5",BJ85,0)</f>
        <v>0</v>
      </c>
      <c r="AB85" s="35">
        <f>IF(AQ85="1",BH85,0)</f>
        <v>0</v>
      </c>
      <c r="AC85" s="35">
        <f>IF(AQ85="1",BI85,0)</f>
        <v>0</v>
      </c>
      <c r="AD85" s="35">
        <f>IF(AQ85="7",BH85,0)</f>
        <v>0</v>
      </c>
      <c r="AE85" s="35">
        <f>IF(AQ85="7",BI85,0)</f>
        <v>0</v>
      </c>
      <c r="AF85" s="35">
        <f>IF(AQ85="2",BH85,0)</f>
        <v>0</v>
      </c>
      <c r="AG85" s="35">
        <f>IF(AQ85="2",BI85,0)</f>
        <v>0</v>
      </c>
      <c r="AH85" s="35">
        <f>IF(AQ85="0",BJ85,0)</f>
        <v>0</v>
      </c>
      <c r="AI85" s="12" t="s">
        <v>57</v>
      </c>
      <c r="AJ85" s="35">
        <f>IF(AN85=0,L85,0)</f>
        <v>0</v>
      </c>
      <c r="AK85" s="35">
        <f>IF(AN85=12,L85,0)</f>
        <v>0</v>
      </c>
      <c r="AL85" s="35">
        <f>IF(AN85=21,L85,0)</f>
        <v>0</v>
      </c>
      <c r="AN85" s="35">
        <v>21</v>
      </c>
      <c r="AO85" s="35">
        <f>H85*0.053195815</f>
        <v>0</v>
      </c>
      <c r="AP85" s="35">
        <f>H85*(1-0.053195815)</f>
        <v>0</v>
      </c>
      <c r="AQ85" s="36" t="s">
        <v>61</v>
      </c>
      <c r="AV85" s="35">
        <f>AW85+AX85</f>
        <v>0</v>
      </c>
      <c r="AW85" s="35">
        <f>G85*AO85</f>
        <v>0</v>
      </c>
      <c r="AX85" s="35">
        <f>G85*AP85</f>
        <v>0</v>
      </c>
      <c r="AY85" s="36" t="s">
        <v>202</v>
      </c>
      <c r="AZ85" s="36" t="s">
        <v>162</v>
      </c>
      <c r="BA85" s="12" t="s">
        <v>69</v>
      </c>
      <c r="BC85" s="35">
        <f>AW85+AX85</f>
        <v>0</v>
      </c>
      <c r="BD85" s="35">
        <f>H85/(100-BE85)*100</f>
        <v>0</v>
      </c>
      <c r="BE85" s="35">
        <v>0</v>
      </c>
      <c r="BF85" s="35">
        <f>O85</f>
        <v>3.3E-3</v>
      </c>
      <c r="BH85" s="35">
        <f>G85*AO85</f>
        <v>0</v>
      </c>
      <c r="BI85" s="35">
        <f>G85*AP85</f>
        <v>0</v>
      </c>
      <c r="BJ85" s="35">
        <f>G85*H85</f>
        <v>0</v>
      </c>
      <c r="BK85" s="35"/>
      <c r="BL85" s="35">
        <v>59</v>
      </c>
      <c r="BW85" s="35" t="str">
        <f>I85</f>
        <v>21</v>
      </c>
      <c r="BX85" s="4" t="s">
        <v>209</v>
      </c>
    </row>
    <row r="86" spans="1:76" ht="14.6" x14ac:dyDescent="0.4">
      <c r="A86" s="2" t="s">
        <v>210</v>
      </c>
      <c r="B86" s="3" t="s">
        <v>57</v>
      </c>
      <c r="C86" s="3" t="s">
        <v>211</v>
      </c>
      <c r="D86" s="83" t="s">
        <v>212</v>
      </c>
      <c r="E86" s="84"/>
      <c r="F86" s="3" t="s">
        <v>94</v>
      </c>
      <c r="G86" s="35">
        <v>65</v>
      </c>
      <c r="H86" s="82"/>
      <c r="I86" s="36" t="s">
        <v>65</v>
      </c>
      <c r="J86" s="35">
        <f>G86*AO86</f>
        <v>0</v>
      </c>
      <c r="K86" s="35">
        <f>G86*AP86</f>
        <v>0</v>
      </c>
      <c r="L86" s="35">
        <f>G86*H86</f>
        <v>0</v>
      </c>
      <c r="M86" s="35">
        <f>L86*(1+BW86/100)</f>
        <v>0</v>
      </c>
      <c r="N86" s="35">
        <v>3.6000000000000002E-4</v>
      </c>
      <c r="O86" s="35">
        <f>G86*N86</f>
        <v>2.3400000000000001E-2</v>
      </c>
      <c r="P86" s="37" t="s">
        <v>66</v>
      </c>
      <c r="Z86" s="35">
        <f>IF(AQ86="5",BJ86,0)</f>
        <v>0</v>
      </c>
      <c r="AB86" s="35">
        <f>IF(AQ86="1",BH86,0)</f>
        <v>0</v>
      </c>
      <c r="AC86" s="35">
        <f>IF(AQ86="1",BI86,0)</f>
        <v>0</v>
      </c>
      <c r="AD86" s="35">
        <f>IF(AQ86="7",BH86,0)</f>
        <v>0</v>
      </c>
      <c r="AE86" s="35">
        <f>IF(AQ86="7",BI86,0)</f>
        <v>0</v>
      </c>
      <c r="AF86" s="35">
        <f>IF(AQ86="2",BH86,0)</f>
        <v>0</v>
      </c>
      <c r="AG86" s="35">
        <f>IF(AQ86="2",BI86,0)</f>
        <v>0</v>
      </c>
      <c r="AH86" s="35">
        <f>IF(AQ86="0",BJ86,0)</f>
        <v>0</v>
      </c>
      <c r="AI86" s="12" t="s">
        <v>57</v>
      </c>
      <c r="AJ86" s="35">
        <f>IF(AN86=0,L86,0)</f>
        <v>0</v>
      </c>
      <c r="AK86" s="35">
        <f>IF(AN86=12,L86,0)</f>
        <v>0</v>
      </c>
      <c r="AL86" s="35">
        <f>IF(AN86=21,L86,0)</f>
        <v>0</v>
      </c>
      <c r="AN86" s="35">
        <v>21</v>
      </c>
      <c r="AO86" s="35">
        <f>H86*0.055096322</f>
        <v>0</v>
      </c>
      <c r="AP86" s="35">
        <f>H86*(1-0.055096322)</f>
        <v>0</v>
      </c>
      <c r="AQ86" s="36" t="s">
        <v>61</v>
      </c>
      <c r="AV86" s="35">
        <f>AW86+AX86</f>
        <v>0</v>
      </c>
      <c r="AW86" s="35">
        <f>G86*AO86</f>
        <v>0</v>
      </c>
      <c r="AX86" s="35">
        <f>G86*AP86</f>
        <v>0</v>
      </c>
      <c r="AY86" s="36" t="s">
        <v>202</v>
      </c>
      <c r="AZ86" s="36" t="s">
        <v>162</v>
      </c>
      <c r="BA86" s="12" t="s">
        <v>69</v>
      </c>
      <c r="BC86" s="35">
        <f>AW86+AX86</f>
        <v>0</v>
      </c>
      <c r="BD86" s="35">
        <f>H86/(100-BE86)*100</f>
        <v>0</v>
      </c>
      <c r="BE86" s="35">
        <v>0</v>
      </c>
      <c r="BF86" s="35">
        <f>O86</f>
        <v>2.3400000000000001E-2</v>
      </c>
      <c r="BH86" s="35">
        <f>G86*AO86</f>
        <v>0</v>
      </c>
      <c r="BI86" s="35">
        <f>G86*AP86</f>
        <v>0</v>
      </c>
      <c r="BJ86" s="35">
        <f>G86*H86</f>
        <v>0</v>
      </c>
      <c r="BK86" s="35"/>
      <c r="BL86" s="35">
        <v>59</v>
      </c>
      <c r="BW86" s="35" t="str">
        <f>I86</f>
        <v>21</v>
      </c>
      <c r="BX86" s="4" t="s">
        <v>212</v>
      </c>
    </row>
    <row r="87" spans="1:76" ht="14.6" x14ac:dyDescent="0.4">
      <c r="A87" s="2" t="s">
        <v>213</v>
      </c>
      <c r="B87" s="3" t="s">
        <v>57</v>
      </c>
      <c r="C87" s="3" t="s">
        <v>214</v>
      </c>
      <c r="D87" s="83" t="s">
        <v>215</v>
      </c>
      <c r="E87" s="84"/>
      <c r="F87" s="3" t="s">
        <v>64</v>
      </c>
      <c r="G87" s="35">
        <v>4.5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7.3899999999999993E-2</v>
      </c>
      <c r="O87" s="35">
        <f>G87*N87</f>
        <v>0.33254999999999996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H87*0.156578947</f>
        <v>0</v>
      </c>
      <c r="AP87" s="35">
        <f>H87*(1-0.156578947)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202</v>
      </c>
      <c r="AZ87" s="36" t="s">
        <v>162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0.33254999999999996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>
        <v>59</v>
      </c>
      <c r="BW87" s="35" t="str">
        <f>I87</f>
        <v>21</v>
      </c>
      <c r="BX87" s="4" t="s">
        <v>215</v>
      </c>
    </row>
    <row r="88" spans="1:76" ht="14.6" x14ac:dyDescent="0.4">
      <c r="A88" s="38"/>
      <c r="D88" s="40" t="s">
        <v>216</v>
      </c>
      <c r="E88" s="41" t="s">
        <v>56</v>
      </c>
      <c r="G88" s="42">
        <v>4.5</v>
      </c>
      <c r="P88" s="43"/>
    </row>
    <row r="89" spans="1:76" ht="14.6" x14ac:dyDescent="0.4">
      <c r="A89" s="2" t="s">
        <v>149</v>
      </c>
      <c r="B89" s="3" t="s">
        <v>57</v>
      </c>
      <c r="C89" s="3" t="s">
        <v>217</v>
      </c>
      <c r="D89" s="83" t="s">
        <v>218</v>
      </c>
      <c r="E89" s="84"/>
      <c r="F89" s="3" t="s">
        <v>64</v>
      </c>
      <c r="G89" s="35">
        <v>6</v>
      </c>
      <c r="H89" s="82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7.1999999999999995E-2</v>
      </c>
      <c r="O89" s="35">
        <f>G89*N89</f>
        <v>0.43199999999999994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57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H89*0.111901566</f>
        <v>0</v>
      </c>
      <c r="AP89" s="35">
        <f>H89*(1-0.111901566)</f>
        <v>0</v>
      </c>
      <c r="AQ89" s="36" t="s">
        <v>61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202</v>
      </c>
      <c r="AZ89" s="36" t="s">
        <v>162</v>
      </c>
      <c r="BA89" s="12" t="s">
        <v>69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0.43199999999999994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>
        <v>59</v>
      </c>
      <c r="BW89" s="35" t="str">
        <f>I89</f>
        <v>21</v>
      </c>
      <c r="BX89" s="4" t="s">
        <v>218</v>
      </c>
    </row>
    <row r="90" spans="1:76" ht="24.9" x14ac:dyDescent="0.4">
      <c r="A90" s="2" t="s">
        <v>219</v>
      </c>
      <c r="B90" s="3" t="s">
        <v>57</v>
      </c>
      <c r="C90" s="3" t="s">
        <v>220</v>
      </c>
      <c r="D90" s="83" t="s">
        <v>221</v>
      </c>
      <c r="E90" s="84"/>
      <c r="F90" s="3" t="s">
        <v>106</v>
      </c>
      <c r="G90" s="35">
        <v>2.99</v>
      </c>
      <c r="H90" s="82"/>
      <c r="I90" s="36" t="s">
        <v>65</v>
      </c>
      <c r="J90" s="35">
        <f>G90*AO90</f>
        <v>0</v>
      </c>
      <c r="K90" s="35">
        <f>G90*AP90</f>
        <v>0</v>
      </c>
      <c r="L90" s="35">
        <f>G90*H90</f>
        <v>0</v>
      </c>
      <c r="M90" s="35">
        <f>L90*(1+BW90/100)</f>
        <v>0</v>
      </c>
      <c r="N90" s="35">
        <v>0</v>
      </c>
      <c r="O90" s="35">
        <f>G90*N90</f>
        <v>0</v>
      </c>
      <c r="P90" s="37" t="s">
        <v>66</v>
      </c>
      <c r="Z90" s="35">
        <f>IF(AQ90="5",BJ90,0)</f>
        <v>0</v>
      </c>
      <c r="AB90" s="35">
        <f>IF(AQ90="1",BH90,0)</f>
        <v>0</v>
      </c>
      <c r="AC90" s="35">
        <f>IF(AQ90="1",BI90,0)</f>
        <v>0</v>
      </c>
      <c r="AD90" s="35">
        <f>IF(AQ90="7",BH90,0)</f>
        <v>0</v>
      </c>
      <c r="AE90" s="35">
        <f>IF(AQ90="7",BI90,0)</f>
        <v>0</v>
      </c>
      <c r="AF90" s="35">
        <f>IF(AQ90="2",BH90,0)</f>
        <v>0</v>
      </c>
      <c r="AG90" s="35">
        <f>IF(AQ90="2",BI90,0)</f>
        <v>0</v>
      </c>
      <c r="AH90" s="35">
        <f>IF(AQ90="0",BJ90,0)</f>
        <v>0</v>
      </c>
      <c r="AI90" s="12" t="s">
        <v>57</v>
      </c>
      <c r="AJ90" s="35">
        <f>IF(AN90=0,L90,0)</f>
        <v>0</v>
      </c>
      <c r="AK90" s="35">
        <f>IF(AN90=12,L90,0)</f>
        <v>0</v>
      </c>
      <c r="AL90" s="35">
        <f>IF(AN90=21,L90,0)</f>
        <v>0</v>
      </c>
      <c r="AN90" s="35">
        <v>21</v>
      </c>
      <c r="AO90" s="35">
        <f>H90*0</f>
        <v>0</v>
      </c>
      <c r="AP90" s="35">
        <f>H90*(1-0)</f>
        <v>0</v>
      </c>
      <c r="AQ90" s="36" t="s">
        <v>61</v>
      </c>
      <c r="AV90" s="35">
        <f>AW90+AX90</f>
        <v>0</v>
      </c>
      <c r="AW90" s="35">
        <f>G90*AO90</f>
        <v>0</v>
      </c>
      <c r="AX90" s="35">
        <f>G90*AP90</f>
        <v>0</v>
      </c>
      <c r="AY90" s="36" t="s">
        <v>202</v>
      </c>
      <c r="AZ90" s="36" t="s">
        <v>162</v>
      </c>
      <c r="BA90" s="12" t="s">
        <v>69</v>
      </c>
      <c r="BC90" s="35">
        <f>AW90+AX90</f>
        <v>0</v>
      </c>
      <c r="BD90" s="35">
        <f>H90/(100-BE90)*100</f>
        <v>0</v>
      </c>
      <c r="BE90" s="35">
        <v>0</v>
      </c>
      <c r="BF90" s="35">
        <f>O90</f>
        <v>0</v>
      </c>
      <c r="BH90" s="35">
        <f>G90*AO90</f>
        <v>0</v>
      </c>
      <c r="BI90" s="35">
        <f>G90*AP90</f>
        <v>0</v>
      </c>
      <c r="BJ90" s="35">
        <f>G90*H90</f>
        <v>0</v>
      </c>
      <c r="BK90" s="35"/>
      <c r="BL90" s="35">
        <v>59</v>
      </c>
      <c r="BW90" s="35" t="str">
        <f>I90</f>
        <v>21</v>
      </c>
      <c r="BX90" s="4" t="s">
        <v>221</v>
      </c>
    </row>
    <row r="91" spans="1:76" ht="14.6" x14ac:dyDescent="0.4">
      <c r="A91" s="38"/>
      <c r="D91" s="40" t="s">
        <v>222</v>
      </c>
      <c r="E91" s="41" t="s">
        <v>56</v>
      </c>
      <c r="G91" s="42">
        <v>2.99</v>
      </c>
      <c r="P91" s="43"/>
    </row>
    <row r="92" spans="1:76" ht="14.6" x14ac:dyDescent="0.4">
      <c r="A92" s="31" t="s">
        <v>56</v>
      </c>
      <c r="B92" s="32" t="s">
        <v>57</v>
      </c>
      <c r="C92" s="32" t="s">
        <v>223</v>
      </c>
      <c r="D92" s="92" t="s">
        <v>224</v>
      </c>
      <c r="E92" s="93"/>
      <c r="F92" s="33" t="s">
        <v>4</v>
      </c>
      <c r="G92" s="33" t="s">
        <v>4</v>
      </c>
      <c r="H92" s="33" t="s">
        <v>4</v>
      </c>
      <c r="I92" s="33" t="s">
        <v>4</v>
      </c>
      <c r="J92" s="1">
        <f>SUM(J93:J94)</f>
        <v>0</v>
      </c>
      <c r="K92" s="1">
        <f>SUM(K93:K94)</f>
        <v>0</v>
      </c>
      <c r="L92" s="1">
        <f>SUM(L93:L94)</f>
        <v>0</v>
      </c>
      <c r="M92" s="1">
        <f>SUM(M93:M94)</f>
        <v>0</v>
      </c>
      <c r="N92" s="12" t="s">
        <v>56</v>
      </c>
      <c r="O92" s="1">
        <f>SUM(O93:O94)</f>
        <v>0.86475999999999997</v>
      </c>
      <c r="P92" s="34" t="s">
        <v>56</v>
      </c>
      <c r="AI92" s="12" t="s">
        <v>57</v>
      </c>
      <c r="AS92" s="1">
        <f>SUM(AJ93:AJ94)</f>
        <v>0</v>
      </c>
      <c r="AT92" s="1">
        <f>SUM(AK93:AK94)</f>
        <v>0</v>
      </c>
      <c r="AU92" s="1">
        <f>SUM(AL93:AL94)</f>
        <v>0</v>
      </c>
    </row>
    <row r="93" spans="1:76" ht="14.6" x14ac:dyDescent="0.4">
      <c r="A93" s="2" t="s">
        <v>225</v>
      </c>
      <c r="B93" s="3" t="s">
        <v>57</v>
      </c>
      <c r="C93" s="3" t="s">
        <v>226</v>
      </c>
      <c r="D93" s="83" t="s">
        <v>227</v>
      </c>
      <c r="E93" s="84"/>
      <c r="F93" s="3" t="s">
        <v>228</v>
      </c>
      <c r="G93" s="35">
        <v>1</v>
      </c>
      <c r="H93" s="82"/>
      <c r="I93" s="36" t="s">
        <v>65</v>
      </c>
      <c r="J93" s="35">
        <f>G93*AO93</f>
        <v>0</v>
      </c>
      <c r="K93" s="35">
        <f>G93*AP93</f>
        <v>0</v>
      </c>
      <c r="L93" s="35">
        <f>G93*H93</f>
        <v>0</v>
      </c>
      <c r="M93" s="35">
        <f>L93*(1+BW93/100)</f>
        <v>0</v>
      </c>
      <c r="N93" s="35">
        <v>0.43381999999999998</v>
      </c>
      <c r="O93" s="35">
        <f>G93*N93</f>
        <v>0.43381999999999998</v>
      </c>
      <c r="P93" s="37" t="s">
        <v>66</v>
      </c>
      <c r="Z93" s="35">
        <f>IF(AQ93="5",BJ93,0)</f>
        <v>0</v>
      </c>
      <c r="AB93" s="35">
        <f>IF(AQ93="1",BH93,0)</f>
        <v>0</v>
      </c>
      <c r="AC93" s="35">
        <f>IF(AQ93="1",BI93,0)</f>
        <v>0</v>
      </c>
      <c r="AD93" s="35">
        <f>IF(AQ93="7",BH93,0)</f>
        <v>0</v>
      </c>
      <c r="AE93" s="35">
        <f>IF(AQ93="7",BI93,0)</f>
        <v>0</v>
      </c>
      <c r="AF93" s="35">
        <f>IF(AQ93="2",BH93,0)</f>
        <v>0</v>
      </c>
      <c r="AG93" s="35">
        <f>IF(AQ93="2",BI93,0)</f>
        <v>0</v>
      </c>
      <c r="AH93" s="35">
        <f>IF(AQ93="0",BJ93,0)</f>
        <v>0</v>
      </c>
      <c r="AI93" s="12" t="s">
        <v>57</v>
      </c>
      <c r="AJ93" s="35">
        <f>IF(AN93=0,L93,0)</f>
        <v>0</v>
      </c>
      <c r="AK93" s="35">
        <f>IF(AN93=12,L93,0)</f>
        <v>0</v>
      </c>
      <c r="AL93" s="35">
        <f>IF(AN93=21,L93,0)</f>
        <v>0</v>
      </c>
      <c r="AN93" s="35">
        <v>21</v>
      </c>
      <c r="AO93" s="35">
        <f>H93*0.346198319</f>
        <v>0</v>
      </c>
      <c r="AP93" s="35">
        <f>H93*(1-0.346198319)</f>
        <v>0</v>
      </c>
      <c r="AQ93" s="36" t="s">
        <v>61</v>
      </c>
      <c r="AV93" s="35">
        <f>AW93+AX93</f>
        <v>0</v>
      </c>
      <c r="AW93" s="35">
        <f>G93*AO93</f>
        <v>0</v>
      </c>
      <c r="AX93" s="35">
        <f>G93*AP93</f>
        <v>0</v>
      </c>
      <c r="AY93" s="36" t="s">
        <v>229</v>
      </c>
      <c r="AZ93" s="36" t="s">
        <v>230</v>
      </c>
      <c r="BA93" s="12" t="s">
        <v>69</v>
      </c>
      <c r="BC93" s="35">
        <f>AW93+AX93</f>
        <v>0</v>
      </c>
      <c r="BD93" s="35">
        <f>H93/(100-BE93)*100</f>
        <v>0</v>
      </c>
      <c r="BE93" s="35">
        <v>0</v>
      </c>
      <c r="BF93" s="35">
        <f>O93</f>
        <v>0.43381999999999998</v>
      </c>
      <c r="BH93" s="35">
        <f>G93*AO93</f>
        <v>0</v>
      </c>
      <c r="BI93" s="35">
        <f>G93*AP93</f>
        <v>0</v>
      </c>
      <c r="BJ93" s="35">
        <f>G93*H93</f>
        <v>0</v>
      </c>
      <c r="BK93" s="35"/>
      <c r="BL93" s="35">
        <v>89</v>
      </c>
      <c r="BW93" s="35" t="str">
        <f>I93</f>
        <v>21</v>
      </c>
      <c r="BX93" s="4" t="s">
        <v>227</v>
      </c>
    </row>
    <row r="94" spans="1:76" ht="14.6" x14ac:dyDescent="0.4">
      <c r="A94" s="2" t="s">
        <v>231</v>
      </c>
      <c r="B94" s="3" t="s">
        <v>57</v>
      </c>
      <c r="C94" s="3" t="s">
        <v>232</v>
      </c>
      <c r="D94" s="83" t="s">
        <v>233</v>
      </c>
      <c r="E94" s="84"/>
      <c r="F94" s="3" t="s">
        <v>228</v>
      </c>
      <c r="G94" s="35">
        <v>1</v>
      </c>
      <c r="H94" s="82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0.43093999999999999</v>
      </c>
      <c r="O94" s="35">
        <f>G94*N94</f>
        <v>0.43093999999999999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H94*0.323783217</f>
        <v>0</v>
      </c>
      <c r="AP94" s="35">
        <f>H94*(1-0.323783217)</f>
        <v>0</v>
      </c>
      <c r="AQ94" s="36" t="s">
        <v>61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229</v>
      </c>
      <c r="AZ94" s="36" t="s">
        <v>230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0.43093999999999999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>
        <v>89</v>
      </c>
      <c r="BW94" s="35" t="str">
        <f>I94</f>
        <v>21</v>
      </c>
      <c r="BX94" s="4" t="s">
        <v>233</v>
      </c>
    </row>
    <row r="95" spans="1:76" ht="14.6" x14ac:dyDescent="0.4">
      <c r="A95" s="31" t="s">
        <v>56</v>
      </c>
      <c r="B95" s="32" t="s">
        <v>57</v>
      </c>
      <c r="C95" s="32" t="s">
        <v>234</v>
      </c>
      <c r="D95" s="92" t="s">
        <v>235</v>
      </c>
      <c r="E95" s="93"/>
      <c r="F95" s="33" t="s">
        <v>4</v>
      </c>
      <c r="G95" s="33" t="s">
        <v>4</v>
      </c>
      <c r="H95" s="33" t="s">
        <v>4</v>
      </c>
      <c r="I95" s="33" t="s">
        <v>4</v>
      </c>
      <c r="J95" s="1">
        <f>SUM(J96:J105)</f>
        <v>0</v>
      </c>
      <c r="K95" s="1">
        <f>SUM(K96:K105)</f>
        <v>0</v>
      </c>
      <c r="L95" s="1">
        <f>SUM(L96:L105)</f>
        <v>0</v>
      </c>
      <c r="M95" s="1">
        <f>SUM(M96:M105)</f>
        <v>0</v>
      </c>
      <c r="N95" s="12" t="s">
        <v>56</v>
      </c>
      <c r="O95" s="1">
        <f>SUM(O96:O105)</f>
        <v>31.660197999999998</v>
      </c>
      <c r="P95" s="34" t="s">
        <v>56</v>
      </c>
      <c r="AI95" s="12" t="s">
        <v>57</v>
      </c>
      <c r="AS95" s="1">
        <f>SUM(AJ96:AJ105)</f>
        <v>0</v>
      </c>
      <c r="AT95" s="1">
        <f>SUM(AK96:AK105)</f>
        <v>0</v>
      </c>
      <c r="AU95" s="1">
        <f>SUM(AL96:AL105)</f>
        <v>0</v>
      </c>
    </row>
    <row r="96" spans="1:76" ht="14.6" x14ac:dyDescent="0.4">
      <c r="A96" s="2" t="s">
        <v>236</v>
      </c>
      <c r="B96" s="3" t="s">
        <v>57</v>
      </c>
      <c r="C96" s="3" t="s">
        <v>237</v>
      </c>
      <c r="D96" s="83" t="s">
        <v>238</v>
      </c>
      <c r="E96" s="84"/>
      <c r="F96" s="3" t="s">
        <v>94</v>
      </c>
      <c r="G96" s="35">
        <v>18</v>
      </c>
      <c r="H96" s="82"/>
      <c r="I96" s="36" t="s">
        <v>65</v>
      </c>
      <c r="J96" s="35">
        <f>G96*AO96</f>
        <v>0</v>
      </c>
      <c r="K96" s="35">
        <f>G96*AP96</f>
        <v>0</v>
      </c>
      <c r="L96" s="35">
        <f>G96*H96</f>
        <v>0</v>
      </c>
      <c r="M96" s="35">
        <f>L96*(1+BW96/100)</f>
        <v>0</v>
      </c>
      <c r="N96" s="35">
        <v>0.10249999999999999</v>
      </c>
      <c r="O96" s="35">
        <f>G96*N96</f>
        <v>1.845</v>
      </c>
      <c r="P96" s="37" t="s">
        <v>66</v>
      </c>
      <c r="Z96" s="35">
        <f>IF(AQ96="5",BJ96,0)</f>
        <v>0</v>
      </c>
      <c r="AB96" s="35">
        <f>IF(AQ96="1",BH96,0)</f>
        <v>0</v>
      </c>
      <c r="AC96" s="35">
        <f>IF(AQ96="1",BI96,0)</f>
        <v>0</v>
      </c>
      <c r="AD96" s="35">
        <f>IF(AQ96="7",BH96,0)</f>
        <v>0</v>
      </c>
      <c r="AE96" s="35">
        <f>IF(AQ96="7",BI96,0)</f>
        <v>0</v>
      </c>
      <c r="AF96" s="35">
        <f>IF(AQ96="2",BH96,0)</f>
        <v>0</v>
      </c>
      <c r="AG96" s="35">
        <f>IF(AQ96="2",BI96,0)</f>
        <v>0</v>
      </c>
      <c r="AH96" s="35">
        <f>IF(AQ96="0",BJ96,0)</f>
        <v>0</v>
      </c>
      <c r="AI96" s="12" t="s">
        <v>57</v>
      </c>
      <c r="AJ96" s="35">
        <f>IF(AN96=0,L96,0)</f>
        <v>0</v>
      </c>
      <c r="AK96" s="35">
        <f>IF(AN96=12,L96,0)</f>
        <v>0</v>
      </c>
      <c r="AL96" s="35">
        <f>IF(AN96=21,L96,0)</f>
        <v>0</v>
      </c>
      <c r="AN96" s="35">
        <v>21</v>
      </c>
      <c r="AO96" s="35">
        <f>H96*0.610253807</f>
        <v>0</v>
      </c>
      <c r="AP96" s="35">
        <f>H96*(1-0.610253807)</f>
        <v>0</v>
      </c>
      <c r="AQ96" s="36" t="s">
        <v>61</v>
      </c>
      <c r="AV96" s="35">
        <f>AW96+AX96</f>
        <v>0</v>
      </c>
      <c r="AW96" s="35">
        <f>G96*AO96</f>
        <v>0</v>
      </c>
      <c r="AX96" s="35">
        <f>G96*AP96</f>
        <v>0</v>
      </c>
      <c r="AY96" s="36" t="s">
        <v>239</v>
      </c>
      <c r="AZ96" s="36" t="s">
        <v>240</v>
      </c>
      <c r="BA96" s="12" t="s">
        <v>69</v>
      </c>
      <c r="BC96" s="35">
        <f>AW96+AX96</f>
        <v>0</v>
      </c>
      <c r="BD96" s="35">
        <f>H96/(100-BE96)*100</f>
        <v>0</v>
      </c>
      <c r="BE96" s="35">
        <v>0</v>
      </c>
      <c r="BF96" s="35">
        <f>O96</f>
        <v>1.845</v>
      </c>
      <c r="BH96" s="35">
        <f>G96*AO96</f>
        <v>0</v>
      </c>
      <c r="BI96" s="35">
        <f>G96*AP96</f>
        <v>0</v>
      </c>
      <c r="BJ96" s="35">
        <f>G96*H96</f>
        <v>0</v>
      </c>
      <c r="BK96" s="35"/>
      <c r="BL96" s="35">
        <v>91</v>
      </c>
      <c r="BW96" s="35" t="str">
        <f>I96</f>
        <v>21</v>
      </c>
      <c r="BX96" s="4" t="s">
        <v>238</v>
      </c>
    </row>
    <row r="97" spans="1:76" ht="14.6" x14ac:dyDescent="0.4">
      <c r="A97" s="38"/>
      <c r="D97" s="40" t="s">
        <v>241</v>
      </c>
      <c r="E97" s="41" t="s">
        <v>56</v>
      </c>
      <c r="G97" s="42">
        <v>18</v>
      </c>
      <c r="P97" s="43"/>
    </row>
    <row r="98" spans="1:76" ht="14.6" x14ac:dyDescent="0.4">
      <c r="A98" s="2" t="s">
        <v>242</v>
      </c>
      <c r="B98" s="3" t="s">
        <v>57</v>
      </c>
      <c r="C98" s="3" t="s">
        <v>243</v>
      </c>
      <c r="D98" s="83" t="s">
        <v>244</v>
      </c>
      <c r="E98" s="84"/>
      <c r="F98" s="3" t="s">
        <v>94</v>
      </c>
      <c r="G98" s="35">
        <v>190.2</v>
      </c>
      <c r="H98" s="82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0.15673999999999999</v>
      </c>
      <c r="O98" s="35">
        <f>G98*N98</f>
        <v>29.811947999999997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H98*0.531457396</f>
        <v>0</v>
      </c>
      <c r="AP98" s="35">
        <f>H98*(1-0.531457396)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239</v>
      </c>
      <c r="AZ98" s="36" t="s">
        <v>240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29.811947999999997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91</v>
      </c>
      <c r="BW98" s="35" t="str">
        <f>I98</f>
        <v>21</v>
      </c>
      <c r="BX98" s="4" t="s">
        <v>244</v>
      </c>
    </row>
    <row r="99" spans="1:76" ht="14.6" x14ac:dyDescent="0.4">
      <c r="A99" s="38"/>
      <c r="D99" s="40" t="s">
        <v>245</v>
      </c>
      <c r="E99" s="41" t="s">
        <v>56</v>
      </c>
      <c r="G99" s="42">
        <v>135</v>
      </c>
      <c r="P99" s="43"/>
    </row>
    <row r="100" spans="1:76" ht="14.6" x14ac:dyDescent="0.4">
      <c r="A100" s="38"/>
      <c r="D100" s="40" t="s">
        <v>246</v>
      </c>
      <c r="E100" s="41" t="s">
        <v>56</v>
      </c>
      <c r="G100" s="42">
        <v>55.2</v>
      </c>
      <c r="P100" s="43"/>
    </row>
    <row r="101" spans="1:76" ht="13.5" customHeight="1" x14ac:dyDescent="0.4">
      <c r="A101" s="38"/>
      <c r="C101" s="44" t="s">
        <v>165</v>
      </c>
      <c r="D101" s="89" t="s">
        <v>247</v>
      </c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1"/>
    </row>
    <row r="102" spans="1:76" ht="14.6" x14ac:dyDescent="0.4">
      <c r="A102" s="2" t="s">
        <v>248</v>
      </c>
      <c r="B102" s="3" t="s">
        <v>57</v>
      </c>
      <c r="C102" s="3" t="s">
        <v>249</v>
      </c>
      <c r="D102" s="83" t="s">
        <v>250</v>
      </c>
      <c r="E102" s="84"/>
      <c r="F102" s="3" t="s">
        <v>64</v>
      </c>
      <c r="G102" s="35">
        <v>325</v>
      </c>
      <c r="H102" s="82"/>
      <c r="I102" s="36" t="s">
        <v>65</v>
      </c>
      <c r="J102" s="35">
        <f>G102*AO102</f>
        <v>0</v>
      </c>
      <c r="K102" s="35">
        <f>G102*AP102</f>
        <v>0</v>
      </c>
      <c r="L102" s="35">
        <f>G102*H102</f>
        <v>0</v>
      </c>
      <c r="M102" s="35">
        <f>L102*(1+BW102/100)</f>
        <v>0</v>
      </c>
      <c r="N102" s="35">
        <v>1.0000000000000001E-5</v>
      </c>
      <c r="O102" s="35">
        <f>G102*N102</f>
        <v>3.2500000000000003E-3</v>
      </c>
      <c r="P102" s="37" t="s">
        <v>66</v>
      </c>
      <c r="Z102" s="35">
        <f>IF(AQ102="5",BJ102,0)</f>
        <v>0</v>
      </c>
      <c r="AB102" s="35">
        <f>IF(AQ102="1",BH102,0)</f>
        <v>0</v>
      </c>
      <c r="AC102" s="35">
        <f>IF(AQ102="1",BI102,0)</f>
        <v>0</v>
      </c>
      <c r="AD102" s="35">
        <f>IF(AQ102="7",BH102,0)</f>
        <v>0</v>
      </c>
      <c r="AE102" s="35">
        <f>IF(AQ102="7",BI102,0)</f>
        <v>0</v>
      </c>
      <c r="AF102" s="35">
        <f>IF(AQ102="2",BH102,0)</f>
        <v>0</v>
      </c>
      <c r="AG102" s="35">
        <f>IF(AQ102="2",BI102,0)</f>
        <v>0</v>
      </c>
      <c r="AH102" s="35">
        <f>IF(AQ102="0",BJ102,0)</f>
        <v>0</v>
      </c>
      <c r="AI102" s="12" t="s">
        <v>57</v>
      </c>
      <c r="AJ102" s="35">
        <f>IF(AN102=0,L102,0)</f>
        <v>0</v>
      </c>
      <c r="AK102" s="35">
        <f>IF(AN102=12,L102,0)</f>
        <v>0</v>
      </c>
      <c r="AL102" s="35">
        <f>IF(AN102=21,L102,0)</f>
        <v>0</v>
      </c>
      <c r="AN102" s="35">
        <v>21</v>
      </c>
      <c r="AO102" s="35">
        <f>H102*0.080103359</f>
        <v>0</v>
      </c>
      <c r="AP102" s="35">
        <f>H102*(1-0.080103359)</f>
        <v>0</v>
      </c>
      <c r="AQ102" s="36" t="s">
        <v>61</v>
      </c>
      <c r="AV102" s="35">
        <f>AW102+AX102</f>
        <v>0</v>
      </c>
      <c r="AW102" s="35">
        <f>G102*AO102</f>
        <v>0</v>
      </c>
      <c r="AX102" s="35">
        <f>G102*AP102</f>
        <v>0</v>
      </c>
      <c r="AY102" s="36" t="s">
        <v>239</v>
      </c>
      <c r="AZ102" s="36" t="s">
        <v>240</v>
      </c>
      <c r="BA102" s="12" t="s">
        <v>69</v>
      </c>
      <c r="BC102" s="35">
        <f>AW102+AX102</f>
        <v>0</v>
      </c>
      <c r="BD102" s="35">
        <f>H102/(100-BE102)*100</f>
        <v>0</v>
      </c>
      <c r="BE102" s="35">
        <v>0</v>
      </c>
      <c r="BF102" s="35">
        <f>O102</f>
        <v>3.2500000000000003E-3</v>
      </c>
      <c r="BH102" s="35">
        <f>G102*AO102</f>
        <v>0</v>
      </c>
      <c r="BI102" s="35">
        <f>G102*AP102</f>
        <v>0</v>
      </c>
      <c r="BJ102" s="35">
        <f>G102*H102</f>
        <v>0</v>
      </c>
      <c r="BK102" s="35"/>
      <c r="BL102" s="35">
        <v>91</v>
      </c>
      <c r="BW102" s="35" t="str">
        <f>I102</f>
        <v>21</v>
      </c>
      <c r="BX102" s="4" t="s">
        <v>250</v>
      </c>
    </row>
    <row r="103" spans="1:76" ht="14.6" x14ac:dyDescent="0.4">
      <c r="A103" s="2" t="s">
        <v>251</v>
      </c>
      <c r="B103" s="3" t="s">
        <v>57</v>
      </c>
      <c r="C103" s="3" t="s">
        <v>252</v>
      </c>
      <c r="D103" s="83" t="s">
        <v>253</v>
      </c>
      <c r="E103" s="84"/>
      <c r="F103" s="3" t="s">
        <v>94</v>
      </c>
      <c r="G103" s="35">
        <v>143</v>
      </c>
      <c r="H103" s="82"/>
      <c r="I103" s="36" t="s">
        <v>65</v>
      </c>
      <c r="J103" s="35">
        <f>G103*AO103</f>
        <v>0</v>
      </c>
      <c r="K103" s="35">
        <f>G103*AP103</f>
        <v>0</v>
      </c>
      <c r="L103" s="35">
        <f>G103*H103</f>
        <v>0</v>
      </c>
      <c r="M103" s="35">
        <f>L103*(1+BW103/100)</f>
        <v>0</v>
      </c>
      <c r="N103" s="35">
        <v>0</v>
      </c>
      <c r="O103" s="35">
        <f>G103*N103</f>
        <v>0</v>
      </c>
      <c r="P103" s="37" t="s">
        <v>66</v>
      </c>
      <c r="Z103" s="35">
        <f>IF(AQ103="5",BJ103,0)</f>
        <v>0</v>
      </c>
      <c r="AB103" s="35">
        <f>IF(AQ103="1",BH103,0)</f>
        <v>0</v>
      </c>
      <c r="AC103" s="35">
        <f>IF(AQ103="1",BI103,0)</f>
        <v>0</v>
      </c>
      <c r="AD103" s="35">
        <f>IF(AQ103="7",BH103,0)</f>
        <v>0</v>
      </c>
      <c r="AE103" s="35">
        <f>IF(AQ103="7",BI103,0)</f>
        <v>0</v>
      </c>
      <c r="AF103" s="35">
        <f>IF(AQ103="2",BH103,0)</f>
        <v>0</v>
      </c>
      <c r="AG103" s="35">
        <f>IF(AQ103="2",BI103,0)</f>
        <v>0</v>
      </c>
      <c r="AH103" s="35">
        <f>IF(AQ103="0",BJ103,0)</f>
        <v>0</v>
      </c>
      <c r="AI103" s="12" t="s">
        <v>57</v>
      </c>
      <c r="AJ103" s="35">
        <f>IF(AN103=0,L103,0)</f>
        <v>0</v>
      </c>
      <c r="AK103" s="35">
        <f>IF(AN103=12,L103,0)</f>
        <v>0</v>
      </c>
      <c r="AL103" s="35">
        <f>IF(AN103=21,L103,0)</f>
        <v>0</v>
      </c>
      <c r="AN103" s="35">
        <v>21</v>
      </c>
      <c r="AO103" s="35">
        <f>H103*0</f>
        <v>0</v>
      </c>
      <c r="AP103" s="35">
        <f>H103*(1-0)</f>
        <v>0</v>
      </c>
      <c r="AQ103" s="36" t="s">
        <v>61</v>
      </c>
      <c r="AV103" s="35">
        <f>AW103+AX103</f>
        <v>0</v>
      </c>
      <c r="AW103" s="35">
        <f>G103*AO103</f>
        <v>0</v>
      </c>
      <c r="AX103" s="35">
        <f>G103*AP103</f>
        <v>0</v>
      </c>
      <c r="AY103" s="36" t="s">
        <v>239</v>
      </c>
      <c r="AZ103" s="36" t="s">
        <v>240</v>
      </c>
      <c r="BA103" s="12" t="s">
        <v>69</v>
      </c>
      <c r="BC103" s="35">
        <f>AW103+AX103</f>
        <v>0</v>
      </c>
      <c r="BD103" s="35">
        <f>H103/(100-BE103)*100</f>
        <v>0</v>
      </c>
      <c r="BE103" s="35">
        <v>0</v>
      </c>
      <c r="BF103" s="35">
        <f>O103</f>
        <v>0</v>
      </c>
      <c r="BH103" s="35">
        <f>G103*AO103</f>
        <v>0</v>
      </c>
      <c r="BI103" s="35">
        <f>G103*AP103</f>
        <v>0</v>
      </c>
      <c r="BJ103" s="35">
        <f>G103*H103</f>
        <v>0</v>
      </c>
      <c r="BK103" s="35"/>
      <c r="BL103" s="35">
        <v>91</v>
      </c>
      <c r="BW103" s="35" t="str">
        <f>I103</f>
        <v>21</v>
      </c>
      <c r="BX103" s="4" t="s">
        <v>253</v>
      </c>
    </row>
    <row r="104" spans="1:76" ht="14.6" x14ac:dyDescent="0.4">
      <c r="A104" s="38"/>
      <c r="D104" s="40" t="s">
        <v>254</v>
      </c>
      <c r="E104" s="41" t="s">
        <v>56</v>
      </c>
      <c r="G104" s="42">
        <v>143</v>
      </c>
      <c r="P104" s="43"/>
    </row>
    <row r="105" spans="1:76" ht="14.6" x14ac:dyDescent="0.4">
      <c r="A105" s="2" t="s">
        <v>255</v>
      </c>
      <c r="B105" s="3" t="s">
        <v>57</v>
      </c>
      <c r="C105" s="3" t="s">
        <v>256</v>
      </c>
      <c r="D105" s="83" t="s">
        <v>257</v>
      </c>
      <c r="E105" s="84"/>
      <c r="F105" s="3" t="s">
        <v>64</v>
      </c>
      <c r="G105" s="35">
        <v>14.1</v>
      </c>
      <c r="H105" s="82"/>
      <c r="I105" s="36" t="s">
        <v>65</v>
      </c>
      <c r="J105" s="35">
        <f>G105*AO105</f>
        <v>0</v>
      </c>
      <c r="K105" s="35">
        <f>G105*AP105</f>
        <v>0</v>
      </c>
      <c r="L105" s="35">
        <f>G105*H105</f>
        <v>0</v>
      </c>
      <c r="M105" s="35">
        <f>L105*(1+BW105/100)</f>
        <v>0</v>
      </c>
      <c r="N105" s="35">
        <v>0</v>
      </c>
      <c r="O105" s="35">
        <f>G105*N105</f>
        <v>0</v>
      </c>
      <c r="P105" s="37" t="s">
        <v>66</v>
      </c>
      <c r="Z105" s="35">
        <f>IF(AQ105="5",BJ105,0)</f>
        <v>0</v>
      </c>
      <c r="AB105" s="35">
        <f>IF(AQ105="1",BH105,0)</f>
        <v>0</v>
      </c>
      <c r="AC105" s="35">
        <f>IF(AQ105="1",BI105,0)</f>
        <v>0</v>
      </c>
      <c r="AD105" s="35">
        <f>IF(AQ105="7",BH105,0)</f>
        <v>0</v>
      </c>
      <c r="AE105" s="35">
        <f>IF(AQ105="7",BI105,0)</f>
        <v>0</v>
      </c>
      <c r="AF105" s="35">
        <f>IF(AQ105="2",BH105,0)</f>
        <v>0</v>
      </c>
      <c r="AG105" s="35">
        <f>IF(AQ105="2",BI105,0)</f>
        <v>0</v>
      </c>
      <c r="AH105" s="35">
        <f>IF(AQ105="0",BJ105,0)</f>
        <v>0</v>
      </c>
      <c r="AI105" s="12" t="s">
        <v>57</v>
      </c>
      <c r="AJ105" s="35">
        <f>IF(AN105=0,L105,0)</f>
        <v>0</v>
      </c>
      <c r="AK105" s="35">
        <f>IF(AN105=12,L105,0)</f>
        <v>0</v>
      </c>
      <c r="AL105" s="35">
        <f>IF(AN105=21,L105,0)</f>
        <v>0</v>
      </c>
      <c r="AN105" s="35">
        <v>21</v>
      </c>
      <c r="AO105" s="35">
        <f>H105*0</f>
        <v>0</v>
      </c>
      <c r="AP105" s="35">
        <f>H105*(1-0)</f>
        <v>0</v>
      </c>
      <c r="AQ105" s="36" t="s">
        <v>61</v>
      </c>
      <c r="AV105" s="35">
        <f>AW105+AX105</f>
        <v>0</v>
      </c>
      <c r="AW105" s="35">
        <f>G105*AO105</f>
        <v>0</v>
      </c>
      <c r="AX105" s="35">
        <f>G105*AP105</f>
        <v>0</v>
      </c>
      <c r="AY105" s="36" t="s">
        <v>239</v>
      </c>
      <c r="AZ105" s="36" t="s">
        <v>240</v>
      </c>
      <c r="BA105" s="12" t="s">
        <v>69</v>
      </c>
      <c r="BC105" s="35">
        <f>AW105+AX105</f>
        <v>0</v>
      </c>
      <c r="BD105" s="35">
        <f>H105/(100-BE105)*100</f>
        <v>0</v>
      </c>
      <c r="BE105" s="35">
        <v>0</v>
      </c>
      <c r="BF105" s="35">
        <f>O105</f>
        <v>0</v>
      </c>
      <c r="BH105" s="35">
        <f>G105*AO105</f>
        <v>0</v>
      </c>
      <c r="BI105" s="35">
        <f>G105*AP105</f>
        <v>0</v>
      </c>
      <c r="BJ105" s="35">
        <f>G105*H105</f>
        <v>0</v>
      </c>
      <c r="BK105" s="35"/>
      <c r="BL105" s="35">
        <v>91</v>
      </c>
      <c r="BW105" s="35" t="str">
        <f>I105</f>
        <v>21</v>
      </c>
      <c r="BX105" s="4" t="s">
        <v>257</v>
      </c>
    </row>
    <row r="106" spans="1:76" ht="14.6" x14ac:dyDescent="0.4">
      <c r="A106" s="38"/>
      <c r="D106" s="40" t="s">
        <v>75</v>
      </c>
      <c r="E106" s="41" t="s">
        <v>56</v>
      </c>
      <c r="G106" s="42">
        <v>14.1</v>
      </c>
      <c r="P106" s="43"/>
    </row>
    <row r="107" spans="1:76" ht="14.6" x14ac:dyDescent="0.4">
      <c r="A107" s="31" t="s">
        <v>56</v>
      </c>
      <c r="B107" s="32" t="s">
        <v>57</v>
      </c>
      <c r="C107" s="32" t="s">
        <v>258</v>
      </c>
      <c r="D107" s="92" t="s">
        <v>259</v>
      </c>
      <c r="E107" s="93"/>
      <c r="F107" s="33" t="s">
        <v>4</v>
      </c>
      <c r="G107" s="33" t="s">
        <v>4</v>
      </c>
      <c r="H107" s="33" t="s">
        <v>4</v>
      </c>
      <c r="I107" s="33" t="s">
        <v>4</v>
      </c>
      <c r="J107" s="1">
        <f>SUM(J108:J108)</f>
        <v>0</v>
      </c>
      <c r="K107" s="1">
        <f>SUM(K108:K108)</f>
        <v>0</v>
      </c>
      <c r="L107" s="1">
        <f>SUM(L108:L108)</f>
        <v>0</v>
      </c>
      <c r="M107" s="1">
        <f>SUM(M108:M108)</f>
        <v>0</v>
      </c>
      <c r="N107" s="12" t="s">
        <v>56</v>
      </c>
      <c r="O107" s="1">
        <f>SUM(O108:O108)</f>
        <v>0</v>
      </c>
      <c r="P107" s="34" t="s">
        <v>56</v>
      </c>
      <c r="AI107" s="12" t="s">
        <v>57</v>
      </c>
      <c r="AS107" s="1">
        <f>SUM(AJ108:AJ108)</f>
        <v>0</v>
      </c>
      <c r="AT107" s="1">
        <f>SUM(AK108:AK108)</f>
        <v>0</v>
      </c>
      <c r="AU107" s="1">
        <f>SUM(AL108:AL108)</f>
        <v>0</v>
      </c>
    </row>
    <row r="108" spans="1:76" ht="14.6" x14ac:dyDescent="0.4">
      <c r="A108" s="2" t="s">
        <v>260</v>
      </c>
      <c r="B108" s="3" t="s">
        <v>57</v>
      </c>
      <c r="C108" s="3" t="s">
        <v>261</v>
      </c>
      <c r="D108" s="83" t="s">
        <v>262</v>
      </c>
      <c r="E108" s="84"/>
      <c r="F108" s="3" t="s">
        <v>263</v>
      </c>
      <c r="G108" s="35">
        <v>302.8</v>
      </c>
      <c r="H108" s="82"/>
      <c r="I108" s="36" t="s">
        <v>65</v>
      </c>
      <c r="J108" s="35">
        <f>G108*AO108</f>
        <v>0</v>
      </c>
      <c r="K108" s="35">
        <f>G108*AP108</f>
        <v>0</v>
      </c>
      <c r="L108" s="35">
        <f>G108*H108</f>
        <v>0</v>
      </c>
      <c r="M108" s="35">
        <f>L108*(1+BW108/100)</f>
        <v>0</v>
      </c>
      <c r="N108" s="35">
        <v>0</v>
      </c>
      <c r="O108" s="35">
        <f>G108*N108</f>
        <v>0</v>
      </c>
      <c r="P108" s="37" t="s">
        <v>66</v>
      </c>
      <c r="Z108" s="35">
        <f>IF(AQ108="5",BJ108,0)</f>
        <v>0</v>
      </c>
      <c r="AB108" s="35">
        <f>IF(AQ108="1",BH108,0)</f>
        <v>0</v>
      </c>
      <c r="AC108" s="35">
        <f>IF(AQ108="1",BI108,0)</f>
        <v>0</v>
      </c>
      <c r="AD108" s="35">
        <f>IF(AQ108="7",BH108,0)</f>
        <v>0</v>
      </c>
      <c r="AE108" s="35">
        <f>IF(AQ108="7",BI108,0)</f>
        <v>0</v>
      </c>
      <c r="AF108" s="35">
        <f>IF(AQ108="2",BH108,0)</f>
        <v>0</v>
      </c>
      <c r="AG108" s="35">
        <f>IF(AQ108="2",BI108,0)</f>
        <v>0</v>
      </c>
      <c r="AH108" s="35">
        <f>IF(AQ108="0",BJ108,0)</f>
        <v>0</v>
      </c>
      <c r="AI108" s="12" t="s">
        <v>57</v>
      </c>
      <c r="AJ108" s="35">
        <f>IF(AN108=0,L108,0)</f>
        <v>0</v>
      </c>
      <c r="AK108" s="35">
        <f>IF(AN108=12,L108,0)</f>
        <v>0</v>
      </c>
      <c r="AL108" s="35">
        <f>IF(AN108=21,L108,0)</f>
        <v>0</v>
      </c>
      <c r="AN108" s="35">
        <v>21</v>
      </c>
      <c r="AO108" s="35">
        <f>H108*0</f>
        <v>0</v>
      </c>
      <c r="AP108" s="35">
        <f>H108*(1-0)</f>
        <v>0</v>
      </c>
      <c r="AQ108" s="36" t="s">
        <v>85</v>
      </c>
      <c r="AV108" s="35">
        <f>AW108+AX108</f>
        <v>0</v>
      </c>
      <c r="AW108" s="35">
        <f>G108*AO108</f>
        <v>0</v>
      </c>
      <c r="AX108" s="35">
        <f>G108*AP108</f>
        <v>0</v>
      </c>
      <c r="AY108" s="36" t="s">
        <v>264</v>
      </c>
      <c r="AZ108" s="36" t="s">
        <v>240</v>
      </c>
      <c r="BA108" s="12" t="s">
        <v>69</v>
      </c>
      <c r="BC108" s="35">
        <f>AW108+AX108</f>
        <v>0</v>
      </c>
      <c r="BD108" s="35">
        <f>H108/(100-BE108)*100</f>
        <v>0</v>
      </c>
      <c r="BE108" s="35">
        <v>0</v>
      </c>
      <c r="BF108" s="35">
        <f>O108</f>
        <v>0</v>
      </c>
      <c r="BH108" s="35">
        <f>G108*AO108</f>
        <v>0</v>
      </c>
      <c r="BI108" s="35">
        <f>G108*AP108</f>
        <v>0</v>
      </c>
      <c r="BJ108" s="35">
        <f>G108*H108</f>
        <v>0</v>
      </c>
      <c r="BK108" s="35"/>
      <c r="BL108" s="35"/>
      <c r="BW108" s="35" t="str">
        <f>I108</f>
        <v>21</v>
      </c>
      <c r="BX108" s="4" t="s">
        <v>262</v>
      </c>
    </row>
    <row r="109" spans="1:76" ht="14.6" x14ac:dyDescent="0.4">
      <c r="A109" s="38"/>
      <c r="D109" s="40" t="s">
        <v>265</v>
      </c>
      <c r="E109" s="41" t="s">
        <v>56</v>
      </c>
      <c r="G109" s="42">
        <v>302.8</v>
      </c>
      <c r="P109" s="43"/>
    </row>
    <row r="110" spans="1:76" ht="14.6" x14ac:dyDescent="0.4">
      <c r="A110" s="31" t="s">
        <v>56</v>
      </c>
      <c r="B110" s="32" t="s">
        <v>57</v>
      </c>
      <c r="C110" s="32" t="s">
        <v>266</v>
      </c>
      <c r="D110" s="92" t="s">
        <v>267</v>
      </c>
      <c r="E110" s="93"/>
      <c r="F110" s="33" t="s">
        <v>4</v>
      </c>
      <c r="G110" s="33" t="s">
        <v>4</v>
      </c>
      <c r="H110" s="33" t="s">
        <v>4</v>
      </c>
      <c r="I110" s="33" t="s">
        <v>4</v>
      </c>
      <c r="J110" s="1">
        <f>SUM(J111:J122)</f>
        <v>0</v>
      </c>
      <c r="K110" s="1">
        <f>SUM(K111:K122)</f>
        <v>0</v>
      </c>
      <c r="L110" s="1">
        <f>SUM(L111:L122)</f>
        <v>0</v>
      </c>
      <c r="M110" s="1">
        <f>SUM(M111:M122)</f>
        <v>0</v>
      </c>
      <c r="N110" s="12" t="s">
        <v>56</v>
      </c>
      <c r="O110" s="1">
        <f>SUM(O111:O122)</f>
        <v>0</v>
      </c>
      <c r="P110" s="34" t="s">
        <v>56</v>
      </c>
      <c r="AI110" s="12" t="s">
        <v>57</v>
      </c>
      <c r="AS110" s="1">
        <f>SUM(AJ111:AJ122)</f>
        <v>0</v>
      </c>
      <c r="AT110" s="1">
        <f>SUM(AK111:AK122)</f>
        <v>0</v>
      </c>
      <c r="AU110" s="1">
        <f>SUM(AL111:AL122)</f>
        <v>0</v>
      </c>
    </row>
    <row r="111" spans="1:76" ht="14.6" x14ac:dyDescent="0.4">
      <c r="A111" s="2" t="s">
        <v>268</v>
      </c>
      <c r="B111" s="3" t="s">
        <v>57</v>
      </c>
      <c r="C111" s="3" t="s">
        <v>269</v>
      </c>
      <c r="D111" s="83" t="s">
        <v>270</v>
      </c>
      <c r="E111" s="84"/>
      <c r="F111" s="3" t="s">
        <v>263</v>
      </c>
      <c r="G111" s="35">
        <v>212</v>
      </c>
      <c r="H111" s="82"/>
      <c r="I111" s="36" t="s">
        <v>65</v>
      </c>
      <c r="J111" s="35">
        <f>G111*AO111</f>
        <v>0</v>
      </c>
      <c r="K111" s="35">
        <f>G111*AP111</f>
        <v>0</v>
      </c>
      <c r="L111" s="35">
        <f>G111*H111</f>
        <v>0</v>
      </c>
      <c r="M111" s="35">
        <f>L111*(1+BW111/100)</f>
        <v>0</v>
      </c>
      <c r="N111" s="35">
        <v>0</v>
      </c>
      <c r="O111" s="35">
        <f>G111*N111</f>
        <v>0</v>
      </c>
      <c r="P111" s="37" t="s">
        <v>66</v>
      </c>
      <c r="Z111" s="35">
        <f>IF(AQ111="5",BJ111,0)</f>
        <v>0</v>
      </c>
      <c r="AB111" s="35">
        <f>IF(AQ111="1",BH111,0)</f>
        <v>0</v>
      </c>
      <c r="AC111" s="35">
        <f>IF(AQ111="1",BI111,0)</f>
        <v>0</v>
      </c>
      <c r="AD111" s="35">
        <f>IF(AQ111="7",BH111,0)</f>
        <v>0</v>
      </c>
      <c r="AE111" s="35">
        <f>IF(AQ111="7",BI111,0)</f>
        <v>0</v>
      </c>
      <c r="AF111" s="35">
        <f>IF(AQ111="2",BH111,0)</f>
        <v>0</v>
      </c>
      <c r="AG111" s="35">
        <f>IF(AQ111="2",BI111,0)</f>
        <v>0</v>
      </c>
      <c r="AH111" s="35">
        <f>IF(AQ111="0",BJ111,0)</f>
        <v>0</v>
      </c>
      <c r="AI111" s="12" t="s">
        <v>57</v>
      </c>
      <c r="AJ111" s="35">
        <f>IF(AN111=0,L111,0)</f>
        <v>0</v>
      </c>
      <c r="AK111" s="35">
        <f>IF(AN111=12,L111,0)</f>
        <v>0</v>
      </c>
      <c r="AL111" s="35">
        <f>IF(AN111=21,L111,0)</f>
        <v>0</v>
      </c>
      <c r="AN111" s="35">
        <v>21</v>
      </c>
      <c r="AO111" s="35">
        <f>H111*0</f>
        <v>0</v>
      </c>
      <c r="AP111" s="35">
        <f>H111*(1-0)</f>
        <v>0</v>
      </c>
      <c r="AQ111" s="36" t="s">
        <v>85</v>
      </c>
      <c r="AV111" s="35">
        <f>AW111+AX111</f>
        <v>0</v>
      </c>
      <c r="AW111" s="35">
        <f>G111*AO111</f>
        <v>0</v>
      </c>
      <c r="AX111" s="35">
        <f>G111*AP111</f>
        <v>0</v>
      </c>
      <c r="AY111" s="36" t="s">
        <v>271</v>
      </c>
      <c r="AZ111" s="36" t="s">
        <v>240</v>
      </c>
      <c r="BA111" s="12" t="s">
        <v>69</v>
      </c>
      <c r="BC111" s="35">
        <f>AW111+AX111</f>
        <v>0</v>
      </c>
      <c r="BD111" s="35">
        <f>H111/(100-BE111)*100</f>
        <v>0</v>
      </c>
      <c r="BE111" s="35">
        <v>0</v>
      </c>
      <c r="BF111" s="35">
        <f>O111</f>
        <v>0</v>
      </c>
      <c r="BH111" s="35">
        <f>G111*AO111</f>
        <v>0</v>
      </c>
      <c r="BI111" s="35">
        <f>G111*AP111</f>
        <v>0</v>
      </c>
      <c r="BJ111" s="35">
        <f>G111*H111</f>
        <v>0</v>
      </c>
      <c r="BK111" s="35"/>
      <c r="BL111" s="35"/>
      <c r="BW111" s="35" t="str">
        <f>I111</f>
        <v>21</v>
      </c>
      <c r="BX111" s="4" t="s">
        <v>270</v>
      </c>
    </row>
    <row r="112" spans="1:76" ht="14.6" x14ac:dyDescent="0.4">
      <c r="A112" s="38"/>
      <c r="D112" s="40" t="s">
        <v>272</v>
      </c>
      <c r="E112" s="41" t="s">
        <v>56</v>
      </c>
      <c r="G112" s="42">
        <v>212</v>
      </c>
      <c r="P112" s="43"/>
    </row>
    <row r="113" spans="1:76" ht="14.6" x14ac:dyDescent="0.4">
      <c r="A113" s="2" t="s">
        <v>273</v>
      </c>
      <c r="B113" s="3" t="s">
        <v>57</v>
      </c>
      <c r="C113" s="3" t="s">
        <v>274</v>
      </c>
      <c r="D113" s="83" t="s">
        <v>275</v>
      </c>
      <c r="E113" s="84"/>
      <c r="F113" s="3" t="s">
        <v>263</v>
      </c>
      <c r="G113" s="35">
        <v>1908</v>
      </c>
      <c r="H113" s="82"/>
      <c r="I113" s="36" t="s">
        <v>65</v>
      </c>
      <c r="J113" s="35">
        <f>G113*AO113</f>
        <v>0</v>
      </c>
      <c r="K113" s="35">
        <f>G113*AP113</f>
        <v>0</v>
      </c>
      <c r="L113" s="35">
        <f>G113*H113</f>
        <v>0</v>
      </c>
      <c r="M113" s="35">
        <f>L113*(1+BW113/100)</f>
        <v>0</v>
      </c>
      <c r="N113" s="35">
        <v>0</v>
      </c>
      <c r="O113" s="35">
        <f>G113*N113</f>
        <v>0</v>
      </c>
      <c r="P113" s="37" t="s">
        <v>66</v>
      </c>
      <c r="Z113" s="35">
        <f>IF(AQ113="5",BJ113,0)</f>
        <v>0</v>
      </c>
      <c r="AB113" s="35">
        <f>IF(AQ113="1",BH113,0)</f>
        <v>0</v>
      </c>
      <c r="AC113" s="35">
        <f>IF(AQ113="1",BI113,0)</f>
        <v>0</v>
      </c>
      <c r="AD113" s="35">
        <f>IF(AQ113="7",BH113,0)</f>
        <v>0</v>
      </c>
      <c r="AE113" s="35">
        <f>IF(AQ113="7",BI113,0)</f>
        <v>0</v>
      </c>
      <c r="AF113" s="35">
        <f>IF(AQ113="2",BH113,0)</f>
        <v>0</v>
      </c>
      <c r="AG113" s="35">
        <f>IF(AQ113="2",BI113,0)</f>
        <v>0</v>
      </c>
      <c r="AH113" s="35">
        <f>IF(AQ113="0",BJ113,0)</f>
        <v>0</v>
      </c>
      <c r="AI113" s="12" t="s">
        <v>57</v>
      </c>
      <c r="AJ113" s="35">
        <f>IF(AN113=0,L113,0)</f>
        <v>0</v>
      </c>
      <c r="AK113" s="35">
        <f>IF(AN113=12,L113,0)</f>
        <v>0</v>
      </c>
      <c r="AL113" s="35">
        <f>IF(AN113=21,L113,0)</f>
        <v>0</v>
      </c>
      <c r="AN113" s="35">
        <v>21</v>
      </c>
      <c r="AO113" s="35">
        <f>H113*0</f>
        <v>0</v>
      </c>
      <c r="AP113" s="35">
        <f>H113*(1-0)</f>
        <v>0</v>
      </c>
      <c r="AQ113" s="36" t="s">
        <v>85</v>
      </c>
      <c r="AV113" s="35">
        <f>AW113+AX113</f>
        <v>0</v>
      </c>
      <c r="AW113" s="35">
        <f>G113*AO113</f>
        <v>0</v>
      </c>
      <c r="AX113" s="35">
        <f>G113*AP113</f>
        <v>0</v>
      </c>
      <c r="AY113" s="36" t="s">
        <v>271</v>
      </c>
      <c r="AZ113" s="36" t="s">
        <v>240</v>
      </c>
      <c r="BA113" s="12" t="s">
        <v>69</v>
      </c>
      <c r="BC113" s="35">
        <f>AW113+AX113</f>
        <v>0</v>
      </c>
      <c r="BD113" s="35">
        <f>H113/(100-BE113)*100</f>
        <v>0</v>
      </c>
      <c r="BE113" s="35">
        <v>0</v>
      </c>
      <c r="BF113" s="35">
        <f>O113</f>
        <v>0</v>
      </c>
      <c r="BH113" s="35">
        <f>G113*AO113</f>
        <v>0</v>
      </c>
      <c r="BI113" s="35">
        <f>G113*AP113</f>
        <v>0</v>
      </c>
      <c r="BJ113" s="35">
        <f>G113*H113</f>
        <v>0</v>
      </c>
      <c r="BK113" s="35"/>
      <c r="BL113" s="35"/>
      <c r="BW113" s="35" t="str">
        <f>I113</f>
        <v>21</v>
      </c>
      <c r="BX113" s="4" t="s">
        <v>275</v>
      </c>
    </row>
    <row r="114" spans="1:76" ht="14.6" x14ac:dyDescent="0.4">
      <c r="A114" s="38"/>
      <c r="D114" s="40" t="s">
        <v>276</v>
      </c>
      <c r="E114" s="41" t="s">
        <v>56</v>
      </c>
      <c r="G114" s="42">
        <v>1908</v>
      </c>
      <c r="P114" s="43"/>
    </row>
    <row r="115" spans="1:76" ht="13.5" customHeight="1" x14ac:dyDescent="0.4">
      <c r="A115" s="38"/>
      <c r="C115" s="44" t="s">
        <v>165</v>
      </c>
      <c r="D115" s="89" t="s">
        <v>277</v>
      </c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1"/>
    </row>
    <row r="116" spans="1:76" ht="14.6" x14ac:dyDescent="0.4">
      <c r="A116" s="2" t="s">
        <v>278</v>
      </c>
      <c r="B116" s="3" t="s">
        <v>57</v>
      </c>
      <c r="C116" s="3" t="s">
        <v>279</v>
      </c>
      <c r="D116" s="83" t="s">
        <v>280</v>
      </c>
      <c r="E116" s="84"/>
      <c r="F116" s="3" t="s">
        <v>263</v>
      </c>
      <c r="G116" s="35">
        <v>5.3</v>
      </c>
      <c r="H116" s="82"/>
      <c r="I116" s="36" t="s">
        <v>65</v>
      </c>
      <c r="J116" s="35">
        <f>G116*AO116</f>
        <v>0</v>
      </c>
      <c r="K116" s="35">
        <f>G116*AP116</f>
        <v>0</v>
      </c>
      <c r="L116" s="35">
        <f>G116*H116</f>
        <v>0</v>
      </c>
      <c r="M116" s="35">
        <f>L116*(1+BW116/100)</f>
        <v>0</v>
      </c>
      <c r="N116" s="35">
        <v>0</v>
      </c>
      <c r="O116" s="35">
        <f>G116*N116</f>
        <v>0</v>
      </c>
      <c r="P116" s="37" t="s">
        <v>66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12" t="s">
        <v>57</v>
      </c>
      <c r="AJ116" s="35">
        <f>IF(AN116=0,L116,0)</f>
        <v>0</v>
      </c>
      <c r="AK116" s="35">
        <f>IF(AN116=12,L116,0)</f>
        <v>0</v>
      </c>
      <c r="AL116" s="35">
        <f>IF(AN116=21,L116,0)</f>
        <v>0</v>
      </c>
      <c r="AN116" s="35">
        <v>21</v>
      </c>
      <c r="AO116" s="35">
        <f>H116*0</f>
        <v>0</v>
      </c>
      <c r="AP116" s="35">
        <f>H116*(1-0)</f>
        <v>0</v>
      </c>
      <c r="AQ116" s="36" t="s">
        <v>85</v>
      </c>
      <c r="AV116" s="35">
        <f>AW116+AX116</f>
        <v>0</v>
      </c>
      <c r="AW116" s="35">
        <f>G116*AO116</f>
        <v>0</v>
      </c>
      <c r="AX116" s="35">
        <f>G116*AP116</f>
        <v>0</v>
      </c>
      <c r="AY116" s="36" t="s">
        <v>271</v>
      </c>
      <c r="AZ116" s="36" t="s">
        <v>240</v>
      </c>
      <c r="BA116" s="12" t="s">
        <v>69</v>
      </c>
      <c r="BC116" s="35">
        <f>AW116+AX116</f>
        <v>0</v>
      </c>
      <c r="BD116" s="35">
        <f>H116/(100-BE116)*100</f>
        <v>0</v>
      </c>
      <c r="BE116" s="35">
        <v>0</v>
      </c>
      <c r="BF116" s="35">
        <f>O116</f>
        <v>0</v>
      </c>
      <c r="BH116" s="35">
        <f>G116*AO116</f>
        <v>0</v>
      </c>
      <c r="BI116" s="35">
        <f>G116*AP116</f>
        <v>0</v>
      </c>
      <c r="BJ116" s="35">
        <f>G116*H116</f>
        <v>0</v>
      </c>
      <c r="BK116" s="35"/>
      <c r="BL116" s="35"/>
      <c r="BW116" s="35" t="str">
        <f>I116</f>
        <v>21</v>
      </c>
      <c r="BX116" s="4" t="s">
        <v>280</v>
      </c>
    </row>
    <row r="117" spans="1:76" ht="14.6" x14ac:dyDescent="0.4">
      <c r="A117" s="38"/>
      <c r="D117" s="40" t="s">
        <v>281</v>
      </c>
      <c r="E117" s="41" t="s">
        <v>56</v>
      </c>
      <c r="G117" s="42">
        <v>5.3</v>
      </c>
      <c r="P117" s="43"/>
    </row>
    <row r="118" spans="1:76" ht="13.5" customHeight="1" x14ac:dyDescent="0.4">
      <c r="A118" s="38"/>
      <c r="C118" s="44" t="s">
        <v>165</v>
      </c>
      <c r="D118" s="89" t="s">
        <v>282</v>
      </c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1"/>
    </row>
    <row r="119" spans="1:76" ht="14.6" x14ac:dyDescent="0.4">
      <c r="A119" s="2" t="s">
        <v>283</v>
      </c>
      <c r="B119" s="3" t="s">
        <v>57</v>
      </c>
      <c r="C119" s="3" t="s">
        <v>284</v>
      </c>
      <c r="D119" s="83" t="s">
        <v>285</v>
      </c>
      <c r="E119" s="84"/>
      <c r="F119" s="3" t="s">
        <v>263</v>
      </c>
      <c r="G119" s="35">
        <v>5.3</v>
      </c>
      <c r="H119" s="82"/>
      <c r="I119" s="36" t="s">
        <v>65</v>
      </c>
      <c r="J119" s="35">
        <f>G119*AO119</f>
        <v>0</v>
      </c>
      <c r="K119" s="35">
        <f>G119*AP119</f>
        <v>0</v>
      </c>
      <c r="L119" s="35">
        <f>G119*H119</f>
        <v>0</v>
      </c>
      <c r="M119" s="35">
        <f>L119*(1+BW119/100)</f>
        <v>0</v>
      </c>
      <c r="N119" s="35">
        <v>0</v>
      </c>
      <c r="O119" s="35">
        <f>G119*N119</f>
        <v>0</v>
      </c>
      <c r="P119" s="37" t="s">
        <v>66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12" t="s">
        <v>57</v>
      </c>
      <c r="AJ119" s="35">
        <f>IF(AN119=0,L119,0)</f>
        <v>0</v>
      </c>
      <c r="AK119" s="35">
        <f>IF(AN119=12,L119,0)</f>
        <v>0</v>
      </c>
      <c r="AL119" s="35">
        <f>IF(AN119=21,L119,0)</f>
        <v>0</v>
      </c>
      <c r="AN119" s="35">
        <v>21</v>
      </c>
      <c r="AO119" s="35">
        <f>H119*0</f>
        <v>0</v>
      </c>
      <c r="AP119" s="35">
        <f>H119*(1-0)</f>
        <v>0</v>
      </c>
      <c r="AQ119" s="36" t="s">
        <v>85</v>
      </c>
      <c r="AV119" s="35">
        <f>AW119+AX119</f>
        <v>0</v>
      </c>
      <c r="AW119" s="35">
        <f>G119*AO119</f>
        <v>0</v>
      </c>
      <c r="AX119" s="35">
        <f>G119*AP119</f>
        <v>0</v>
      </c>
      <c r="AY119" s="36" t="s">
        <v>271</v>
      </c>
      <c r="AZ119" s="36" t="s">
        <v>240</v>
      </c>
      <c r="BA119" s="12" t="s">
        <v>69</v>
      </c>
      <c r="BC119" s="35">
        <f>AW119+AX119</f>
        <v>0</v>
      </c>
      <c r="BD119" s="35">
        <f>H119/(100-BE119)*100</f>
        <v>0</v>
      </c>
      <c r="BE119" s="35">
        <v>0</v>
      </c>
      <c r="BF119" s="35">
        <f>O119</f>
        <v>0</v>
      </c>
      <c r="BH119" s="35">
        <f>G119*AO119</f>
        <v>0</v>
      </c>
      <c r="BI119" s="35">
        <f>G119*AP119</f>
        <v>0</v>
      </c>
      <c r="BJ119" s="35">
        <f>G119*H119</f>
        <v>0</v>
      </c>
      <c r="BK119" s="35"/>
      <c r="BL119" s="35"/>
      <c r="BW119" s="35" t="str">
        <f>I119</f>
        <v>21</v>
      </c>
      <c r="BX119" s="4" t="s">
        <v>285</v>
      </c>
    </row>
    <row r="120" spans="1:76" ht="14.6" x14ac:dyDescent="0.4">
      <c r="A120" s="2" t="s">
        <v>286</v>
      </c>
      <c r="B120" s="3" t="s">
        <v>57</v>
      </c>
      <c r="C120" s="3" t="s">
        <v>287</v>
      </c>
      <c r="D120" s="83" t="s">
        <v>288</v>
      </c>
      <c r="E120" s="84"/>
      <c r="F120" s="3" t="s">
        <v>263</v>
      </c>
      <c r="G120" s="35">
        <v>5.3</v>
      </c>
      <c r="H120" s="82"/>
      <c r="I120" s="36" t="s">
        <v>65</v>
      </c>
      <c r="J120" s="35">
        <f>G120*AO120</f>
        <v>0</v>
      </c>
      <c r="K120" s="35">
        <f>G120*AP120</f>
        <v>0</v>
      </c>
      <c r="L120" s="35">
        <f>G120*H120</f>
        <v>0</v>
      </c>
      <c r="M120" s="35">
        <f>L120*(1+BW120/100)</f>
        <v>0</v>
      </c>
      <c r="N120" s="35">
        <v>0</v>
      </c>
      <c r="O120" s="35">
        <f>G120*N120</f>
        <v>0</v>
      </c>
      <c r="P120" s="37" t="s">
        <v>66</v>
      </c>
      <c r="Z120" s="35">
        <f>IF(AQ120="5",BJ120,0)</f>
        <v>0</v>
      </c>
      <c r="AB120" s="35">
        <f>IF(AQ120="1",BH120,0)</f>
        <v>0</v>
      </c>
      <c r="AC120" s="35">
        <f>IF(AQ120="1",BI120,0)</f>
        <v>0</v>
      </c>
      <c r="AD120" s="35">
        <f>IF(AQ120="7",BH120,0)</f>
        <v>0</v>
      </c>
      <c r="AE120" s="35">
        <f>IF(AQ120="7",BI120,0)</f>
        <v>0</v>
      </c>
      <c r="AF120" s="35">
        <f>IF(AQ120="2",BH120,0)</f>
        <v>0</v>
      </c>
      <c r="AG120" s="35">
        <f>IF(AQ120="2",BI120,0)</f>
        <v>0</v>
      </c>
      <c r="AH120" s="35">
        <f>IF(AQ120="0",BJ120,0)</f>
        <v>0</v>
      </c>
      <c r="AI120" s="12" t="s">
        <v>57</v>
      </c>
      <c r="AJ120" s="35">
        <f>IF(AN120=0,L120,0)</f>
        <v>0</v>
      </c>
      <c r="AK120" s="35">
        <f>IF(AN120=12,L120,0)</f>
        <v>0</v>
      </c>
      <c r="AL120" s="35">
        <f>IF(AN120=21,L120,0)</f>
        <v>0</v>
      </c>
      <c r="AN120" s="35">
        <v>21</v>
      </c>
      <c r="AO120" s="35">
        <f>H120*0</f>
        <v>0</v>
      </c>
      <c r="AP120" s="35">
        <f>H120*(1-0)</f>
        <v>0</v>
      </c>
      <c r="AQ120" s="36" t="s">
        <v>85</v>
      </c>
      <c r="AV120" s="35">
        <f>AW120+AX120</f>
        <v>0</v>
      </c>
      <c r="AW120" s="35">
        <f>G120*AO120</f>
        <v>0</v>
      </c>
      <c r="AX120" s="35">
        <f>G120*AP120</f>
        <v>0</v>
      </c>
      <c r="AY120" s="36" t="s">
        <v>271</v>
      </c>
      <c r="AZ120" s="36" t="s">
        <v>240</v>
      </c>
      <c r="BA120" s="12" t="s">
        <v>69</v>
      </c>
      <c r="BC120" s="35">
        <f>AW120+AX120</f>
        <v>0</v>
      </c>
      <c r="BD120" s="35">
        <f>H120/(100-BE120)*100</f>
        <v>0</v>
      </c>
      <c r="BE120" s="35">
        <v>0</v>
      </c>
      <c r="BF120" s="35">
        <f>O120</f>
        <v>0</v>
      </c>
      <c r="BH120" s="35">
        <f>G120*AO120</f>
        <v>0</v>
      </c>
      <c r="BI120" s="35">
        <f>G120*AP120</f>
        <v>0</v>
      </c>
      <c r="BJ120" s="35">
        <f>G120*H120</f>
        <v>0</v>
      </c>
      <c r="BK120" s="35"/>
      <c r="BL120" s="35"/>
      <c r="BW120" s="35" t="str">
        <f>I120</f>
        <v>21</v>
      </c>
      <c r="BX120" s="4" t="s">
        <v>288</v>
      </c>
    </row>
    <row r="121" spans="1:76" ht="13.5" customHeight="1" x14ac:dyDescent="0.4">
      <c r="A121" s="38"/>
      <c r="C121" s="39" t="s">
        <v>73</v>
      </c>
      <c r="D121" s="94" t="s">
        <v>289</v>
      </c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6"/>
    </row>
    <row r="122" spans="1:76" ht="14.6" x14ac:dyDescent="0.4">
      <c r="A122" s="2" t="s">
        <v>290</v>
      </c>
      <c r="B122" s="3" t="s">
        <v>57</v>
      </c>
      <c r="C122" s="3" t="s">
        <v>291</v>
      </c>
      <c r="D122" s="83" t="s">
        <v>292</v>
      </c>
      <c r="E122" s="84"/>
      <c r="F122" s="3" t="s">
        <v>263</v>
      </c>
      <c r="G122" s="35">
        <v>212</v>
      </c>
      <c r="H122" s="82"/>
      <c r="I122" s="36" t="s">
        <v>65</v>
      </c>
      <c r="J122" s="35">
        <f>G122*AO122</f>
        <v>0</v>
      </c>
      <c r="K122" s="35">
        <f>G122*AP122</f>
        <v>0</v>
      </c>
      <c r="L122" s="35">
        <f>G122*H122</f>
        <v>0</v>
      </c>
      <c r="M122" s="35">
        <f>L122*(1+BW122/100)</f>
        <v>0</v>
      </c>
      <c r="N122" s="35">
        <v>0</v>
      </c>
      <c r="O122" s="35">
        <f>G122*N122</f>
        <v>0</v>
      </c>
      <c r="P122" s="37" t="s">
        <v>66</v>
      </c>
      <c r="Z122" s="35">
        <f>IF(AQ122="5",BJ122,0)</f>
        <v>0</v>
      </c>
      <c r="AB122" s="35">
        <f>IF(AQ122="1",BH122,0)</f>
        <v>0</v>
      </c>
      <c r="AC122" s="35">
        <f>IF(AQ122="1",BI122,0)</f>
        <v>0</v>
      </c>
      <c r="AD122" s="35">
        <f>IF(AQ122="7",BH122,0)</f>
        <v>0</v>
      </c>
      <c r="AE122" s="35">
        <f>IF(AQ122="7",BI122,0)</f>
        <v>0</v>
      </c>
      <c r="AF122" s="35">
        <f>IF(AQ122="2",BH122,0)</f>
        <v>0</v>
      </c>
      <c r="AG122" s="35">
        <f>IF(AQ122="2",BI122,0)</f>
        <v>0</v>
      </c>
      <c r="AH122" s="35">
        <f>IF(AQ122="0",BJ122,0)</f>
        <v>0</v>
      </c>
      <c r="AI122" s="12" t="s">
        <v>57</v>
      </c>
      <c r="AJ122" s="35">
        <f>IF(AN122=0,L122,0)</f>
        <v>0</v>
      </c>
      <c r="AK122" s="35">
        <f>IF(AN122=12,L122,0)</f>
        <v>0</v>
      </c>
      <c r="AL122" s="35">
        <f>IF(AN122=21,L122,0)</f>
        <v>0</v>
      </c>
      <c r="AN122" s="35">
        <v>21</v>
      </c>
      <c r="AO122" s="35">
        <f>H122*0</f>
        <v>0</v>
      </c>
      <c r="AP122" s="35">
        <f>H122*(1-0)</f>
        <v>0</v>
      </c>
      <c r="AQ122" s="36" t="s">
        <v>85</v>
      </c>
      <c r="AV122" s="35">
        <f>AW122+AX122</f>
        <v>0</v>
      </c>
      <c r="AW122" s="35">
        <f>G122*AO122</f>
        <v>0</v>
      </c>
      <c r="AX122" s="35">
        <f>G122*AP122</f>
        <v>0</v>
      </c>
      <c r="AY122" s="36" t="s">
        <v>271</v>
      </c>
      <c r="AZ122" s="36" t="s">
        <v>240</v>
      </c>
      <c r="BA122" s="12" t="s">
        <v>69</v>
      </c>
      <c r="BC122" s="35">
        <f>AW122+AX122</f>
        <v>0</v>
      </c>
      <c r="BD122" s="35">
        <f>H122/(100-BE122)*100</f>
        <v>0</v>
      </c>
      <c r="BE122" s="35">
        <v>0</v>
      </c>
      <c r="BF122" s="35">
        <f>O122</f>
        <v>0</v>
      </c>
      <c r="BH122" s="35">
        <f>G122*AO122</f>
        <v>0</v>
      </c>
      <c r="BI122" s="35">
        <f>G122*AP122</f>
        <v>0</v>
      </c>
      <c r="BJ122" s="35">
        <f>G122*H122</f>
        <v>0</v>
      </c>
      <c r="BK122" s="35"/>
      <c r="BL122" s="35"/>
      <c r="BW122" s="35" t="str">
        <f>I122</f>
        <v>21</v>
      </c>
      <c r="BX122" s="4" t="s">
        <v>292</v>
      </c>
    </row>
    <row r="123" spans="1:76" ht="14.6" x14ac:dyDescent="0.4">
      <c r="A123" s="31" t="s">
        <v>56</v>
      </c>
      <c r="B123" s="32" t="s">
        <v>57</v>
      </c>
      <c r="C123" s="32" t="s">
        <v>293</v>
      </c>
      <c r="D123" s="92" t="s">
        <v>294</v>
      </c>
      <c r="E123" s="93"/>
      <c r="F123" s="33" t="s">
        <v>4</v>
      </c>
      <c r="G123" s="33" t="s">
        <v>4</v>
      </c>
      <c r="H123" s="33" t="s">
        <v>4</v>
      </c>
      <c r="I123" s="33" t="s">
        <v>4</v>
      </c>
      <c r="J123" s="1">
        <f>SUM(J124:J153)</f>
        <v>0</v>
      </c>
      <c r="K123" s="1">
        <f>SUM(K124:K153)</f>
        <v>0</v>
      </c>
      <c r="L123" s="1">
        <f>SUM(L124:L153)</f>
        <v>0</v>
      </c>
      <c r="M123" s="1">
        <f>SUM(M124:M153)</f>
        <v>0</v>
      </c>
      <c r="N123" s="12" t="s">
        <v>56</v>
      </c>
      <c r="O123" s="1">
        <f>SUM(O124:O153)</f>
        <v>57.98312</v>
      </c>
      <c r="P123" s="34" t="s">
        <v>56</v>
      </c>
      <c r="AI123" s="12" t="s">
        <v>57</v>
      </c>
      <c r="AS123" s="1">
        <f>SUM(AJ124:AJ153)</f>
        <v>0</v>
      </c>
      <c r="AT123" s="1">
        <f>SUM(AK124:AK153)</f>
        <v>0</v>
      </c>
      <c r="AU123" s="1">
        <f>SUM(AL124:AL153)</f>
        <v>0</v>
      </c>
    </row>
    <row r="124" spans="1:76" ht="14.6" x14ac:dyDescent="0.4">
      <c r="A124" s="2" t="s">
        <v>295</v>
      </c>
      <c r="B124" s="3" t="s">
        <v>57</v>
      </c>
      <c r="C124" s="3" t="s">
        <v>296</v>
      </c>
      <c r="D124" s="83" t="s">
        <v>297</v>
      </c>
      <c r="E124" s="84"/>
      <c r="F124" s="3" t="s">
        <v>298</v>
      </c>
      <c r="G124" s="35">
        <v>3.6</v>
      </c>
      <c r="H124" s="82"/>
      <c r="I124" s="36" t="s">
        <v>65</v>
      </c>
      <c r="J124" s="35">
        <f>G124*AO124</f>
        <v>0</v>
      </c>
      <c r="K124" s="35">
        <f>G124*AP124</f>
        <v>0</v>
      </c>
      <c r="L124" s="35">
        <f>G124*H124</f>
        <v>0</v>
      </c>
      <c r="M124" s="35">
        <f>L124*(1+BW124/100)</f>
        <v>0</v>
      </c>
      <c r="N124" s="35">
        <v>1E-3</v>
      </c>
      <c r="O124" s="35">
        <f>G124*N124</f>
        <v>3.6000000000000003E-3</v>
      </c>
      <c r="P124" s="37" t="s">
        <v>66</v>
      </c>
      <c r="Z124" s="35">
        <f>IF(AQ124="5",BJ124,0)</f>
        <v>0</v>
      </c>
      <c r="AB124" s="35">
        <f>IF(AQ124="1",BH124,0)</f>
        <v>0</v>
      </c>
      <c r="AC124" s="35">
        <f>IF(AQ124="1",BI124,0)</f>
        <v>0</v>
      </c>
      <c r="AD124" s="35">
        <f>IF(AQ124="7",BH124,0)</f>
        <v>0</v>
      </c>
      <c r="AE124" s="35">
        <f>IF(AQ124="7",BI124,0)</f>
        <v>0</v>
      </c>
      <c r="AF124" s="35">
        <f>IF(AQ124="2",BH124,0)</f>
        <v>0</v>
      </c>
      <c r="AG124" s="35">
        <f>IF(AQ124="2",BI124,0)</f>
        <v>0</v>
      </c>
      <c r="AH124" s="35">
        <f>IF(AQ124="0",BJ124,0)</f>
        <v>0</v>
      </c>
      <c r="AI124" s="12" t="s">
        <v>57</v>
      </c>
      <c r="AJ124" s="35">
        <f>IF(AN124=0,L124,0)</f>
        <v>0</v>
      </c>
      <c r="AK124" s="35">
        <f>IF(AN124=12,L124,0)</f>
        <v>0</v>
      </c>
      <c r="AL124" s="35">
        <f>IF(AN124=21,L124,0)</f>
        <v>0</v>
      </c>
      <c r="AN124" s="35">
        <v>21</v>
      </c>
      <c r="AO124" s="35">
        <f>H124*1</f>
        <v>0</v>
      </c>
      <c r="AP124" s="35">
        <f>H124*(1-1)</f>
        <v>0</v>
      </c>
      <c r="AQ124" s="36" t="s">
        <v>299</v>
      </c>
      <c r="AV124" s="35">
        <f>AW124+AX124</f>
        <v>0</v>
      </c>
      <c r="AW124" s="35">
        <f>G124*AO124</f>
        <v>0</v>
      </c>
      <c r="AX124" s="35">
        <f>G124*AP124</f>
        <v>0</v>
      </c>
      <c r="AY124" s="36" t="s">
        <v>300</v>
      </c>
      <c r="AZ124" s="36" t="s">
        <v>301</v>
      </c>
      <c r="BA124" s="12" t="s">
        <v>69</v>
      </c>
      <c r="BC124" s="35">
        <f>AW124+AX124</f>
        <v>0</v>
      </c>
      <c r="BD124" s="35">
        <f>H124/(100-BE124)*100</f>
        <v>0</v>
      </c>
      <c r="BE124" s="35">
        <v>0</v>
      </c>
      <c r="BF124" s="35">
        <f>O124</f>
        <v>3.6000000000000003E-3</v>
      </c>
      <c r="BH124" s="35">
        <f>G124*AO124</f>
        <v>0</v>
      </c>
      <c r="BI124" s="35">
        <f>G124*AP124</f>
        <v>0</v>
      </c>
      <c r="BJ124" s="35">
        <f>G124*H124</f>
        <v>0</v>
      </c>
      <c r="BK124" s="35"/>
      <c r="BL124" s="35"/>
      <c r="BW124" s="35" t="str">
        <f>I124</f>
        <v>21</v>
      </c>
      <c r="BX124" s="4" t="s">
        <v>297</v>
      </c>
    </row>
    <row r="125" spans="1:76" ht="14.6" x14ac:dyDescent="0.4">
      <c r="A125" s="38"/>
      <c r="D125" s="40" t="s">
        <v>302</v>
      </c>
      <c r="E125" s="41" t="s">
        <v>56</v>
      </c>
      <c r="G125" s="42">
        <v>3.6</v>
      </c>
      <c r="P125" s="43"/>
    </row>
    <row r="126" spans="1:76" ht="14.6" x14ac:dyDescent="0.4">
      <c r="A126" s="2" t="s">
        <v>303</v>
      </c>
      <c r="B126" s="3" t="s">
        <v>57</v>
      </c>
      <c r="C126" s="3" t="s">
        <v>304</v>
      </c>
      <c r="D126" s="83" t="s">
        <v>305</v>
      </c>
      <c r="E126" s="84"/>
      <c r="F126" s="3" t="s">
        <v>263</v>
      </c>
      <c r="G126" s="35">
        <v>6.9</v>
      </c>
      <c r="H126" s="82"/>
      <c r="I126" s="36" t="s">
        <v>65</v>
      </c>
      <c r="J126" s="35">
        <f>G126*AO126</f>
        <v>0</v>
      </c>
      <c r="K126" s="35">
        <f>G126*AP126</f>
        <v>0</v>
      </c>
      <c r="L126" s="35">
        <f>G126*H126</f>
        <v>0</v>
      </c>
      <c r="M126" s="35">
        <f>L126*(1+BW126/100)</f>
        <v>0</v>
      </c>
      <c r="N126" s="35">
        <v>1</v>
      </c>
      <c r="O126" s="35">
        <f>G126*N126</f>
        <v>6.9</v>
      </c>
      <c r="P126" s="37" t="s">
        <v>66</v>
      </c>
      <c r="Z126" s="35">
        <f>IF(AQ126="5",BJ126,0)</f>
        <v>0</v>
      </c>
      <c r="AB126" s="35">
        <f>IF(AQ126="1",BH126,0)</f>
        <v>0</v>
      </c>
      <c r="AC126" s="35">
        <f>IF(AQ126="1",BI126,0)</f>
        <v>0</v>
      </c>
      <c r="AD126" s="35">
        <f>IF(AQ126="7",BH126,0)</f>
        <v>0</v>
      </c>
      <c r="AE126" s="35">
        <f>IF(AQ126="7",BI126,0)</f>
        <v>0</v>
      </c>
      <c r="AF126" s="35">
        <f>IF(AQ126="2",BH126,0)</f>
        <v>0</v>
      </c>
      <c r="AG126" s="35">
        <f>IF(AQ126="2",BI126,0)</f>
        <v>0</v>
      </c>
      <c r="AH126" s="35">
        <f>IF(AQ126="0",BJ126,0)</f>
        <v>0</v>
      </c>
      <c r="AI126" s="12" t="s">
        <v>57</v>
      </c>
      <c r="AJ126" s="35">
        <f>IF(AN126=0,L126,0)</f>
        <v>0</v>
      </c>
      <c r="AK126" s="35">
        <f>IF(AN126=12,L126,0)</f>
        <v>0</v>
      </c>
      <c r="AL126" s="35">
        <f>IF(AN126=21,L126,0)</f>
        <v>0</v>
      </c>
      <c r="AN126" s="35">
        <v>21</v>
      </c>
      <c r="AO126" s="35">
        <f>H126*1</f>
        <v>0</v>
      </c>
      <c r="AP126" s="35">
        <f>H126*(1-1)</f>
        <v>0</v>
      </c>
      <c r="AQ126" s="36" t="s">
        <v>299</v>
      </c>
      <c r="AV126" s="35">
        <f>AW126+AX126</f>
        <v>0</v>
      </c>
      <c r="AW126" s="35">
        <f>G126*AO126</f>
        <v>0</v>
      </c>
      <c r="AX126" s="35">
        <f>G126*AP126</f>
        <v>0</v>
      </c>
      <c r="AY126" s="36" t="s">
        <v>300</v>
      </c>
      <c r="AZ126" s="36" t="s">
        <v>301</v>
      </c>
      <c r="BA126" s="12" t="s">
        <v>69</v>
      </c>
      <c r="BC126" s="35">
        <f>AW126+AX126</f>
        <v>0</v>
      </c>
      <c r="BD126" s="35">
        <f>H126/(100-BE126)*100</f>
        <v>0</v>
      </c>
      <c r="BE126" s="35">
        <v>0</v>
      </c>
      <c r="BF126" s="35">
        <f>O126</f>
        <v>6.9</v>
      </c>
      <c r="BH126" s="35">
        <f>G126*AO126</f>
        <v>0</v>
      </c>
      <c r="BI126" s="35">
        <f>G126*AP126</f>
        <v>0</v>
      </c>
      <c r="BJ126" s="35">
        <f>G126*H126</f>
        <v>0</v>
      </c>
      <c r="BK126" s="35"/>
      <c r="BL126" s="35"/>
      <c r="BW126" s="35" t="str">
        <f>I126</f>
        <v>21</v>
      </c>
      <c r="BX126" s="4" t="s">
        <v>305</v>
      </c>
    </row>
    <row r="127" spans="1:76" ht="14.6" x14ac:dyDescent="0.4">
      <c r="A127" s="38"/>
      <c r="D127" s="40" t="s">
        <v>306</v>
      </c>
      <c r="E127" s="41" t="s">
        <v>56</v>
      </c>
      <c r="G127" s="42">
        <v>6.9</v>
      </c>
      <c r="P127" s="43"/>
    </row>
    <row r="128" spans="1:76" ht="14.6" x14ac:dyDescent="0.4">
      <c r="A128" s="2" t="s">
        <v>307</v>
      </c>
      <c r="B128" s="3" t="s">
        <v>57</v>
      </c>
      <c r="C128" s="3" t="s">
        <v>308</v>
      </c>
      <c r="D128" s="83" t="s">
        <v>309</v>
      </c>
      <c r="E128" s="84"/>
      <c r="F128" s="3" t="s">
        <v>263</v>
      </c>
      <c r="G128" s="35">
        <v>0.36</v>
      </c>
      <c r="H128" s="82"/>
      <c r="I128" s="36" t="s">
        <v>65</v>
      </c>
      <c r="J128" s="35">
        <f>G128*AO128</f>
        <v>0</v>
      </c>
      <c r="K128" s="35">
        <f>G128*AP128</f>
        <v>0</v>
      </c>
      <c r="L128" s="35">
        <f>G128*H128</f>
        <v>0</v>
      </c>
      <c r="M128" s="35">
        <f>L128*(1+BW128/100)</f>
        <v>0</v>
      </c>
      <c r="N128" s="35">
        <v>1</v>
      </c>
      <c r="O128" s="35">
        <f>G128*N128</f>
        <v>0.36</v>
      </c>
      <c r="P128" s="37" t="s">
        <v>66</v>
      </c>
      <c r="Z128" s="35">
        <f>IF(AQ128="5",BJ128,0)</f>
        <v>0</v>
      </c>
      <c r="AB128" s="35">
        <f>IF(AQ128="1",BH128,0)</f>
        <v>0</v>
      </c>
      <c r="AC128" s="35">
        <f>IF(AQ128="1",BI128,0)</f>
        <v>0</v>
      </c>
      <c r="AD128" s="35">
        <f>IF(AQ128="7",BH128,0)</f>
        <v>0</v>
      </c>
      <c r="AE128" s="35">
        <f>IF(AQ128="7",BI128,0)</f>
        <v>0</v>
      </c>
      <c r="AF128" s="35">
        <f>IF(AQ128="2",BH128,0)</f>
        <v>0</v>
      </c>
      <c r="AG128" s="35">
        <f>IF(AQ128="2",BI128,0)</f>
        <v>0</v>
      </c>
      <c r="AH128" s="35">
        <f>IF(AQ128="0",BJ128,0)</f>
        <v>0</v>
      </c>
      <c r="AI128" s="12" t="s">
        <v>57</v>
      </c>
      <c r="AJ128" s="35">
        <f>IF(AN128=0,L128,0)</f>
        <v>0</v>
      </c>
      <c r="AK128" s="35">
        <f>IF(AN128=12,L128,0)</f>
        <v>0</v>
      </c>
      <c r="AL128" s="35">
        <f>IF(AN128=21,L128,0)</f>
        <v>0</v>
      </c>
      <c r="AN128" s="35">
        <v>21</v>
      </c>
      <c r="AO128" s="35">
        <f>H128*1</f>
        <v>0</v>
      </c>
      <c r="AP128" s="35">
        <f>H128*(1-1)</f>
        <v>0</v>
      </c>
      <c r="AQ128" s="36" t="s">
        <v>299</v>
      </c>
      <c r="AV128" s="35">
        <f>AW128+AX128</f>
        <v>0</v>
      </c>
      <c r="AW128" s="35">
        <f>G128*AO128</f>
        <v>0</v>
      </c>
      <c r="AX128" s="35">
        <f>G128*AP128</f>
        <v>0</v>
      </c>
      <c r="AY128" s="36" t="s">
        <v>300</v>
      </c>
      <c r="AZ128" s="36" t="s">
        <v>301</v>
      </c>
      <c r="BA128" s="12" t="s">
        <v>69</v>
      </c>
      <c r="BC128" s="35">
        <f>AW128+AX128</f>
        <v>0</v>
      </c>
      <c r="BD128" s="35">
        <f>H128/(100-BE128)*100</f>
        <v>0</v>
      </c>
      <c r="BE128" s="35">
        <v>0</v>
      </c>
      <c r="BF128" s="35">
        <f>O128</f>
        <v>0.36</v>
      </c>
      <c r="BH128" s="35">
        <f>G128*AO128</f>
        <v>0</v>
      </c>
      <c r="BI128" s="35">
        <f>G128*AP128</f>
        <v>0</v>
      </c>
      <c r="BJ128" s="35">
        <f>G128*H128</f>
        <v>0</v>
      </c>
      <c r="BK128" s="35"/>
      <c r="BL128" s="35"/>
      <c r="BW128" s="35" t="str">
        <f>I128</f>
        <v>21</v>
      </c>
      <c r="BX128" s="4" t="s">
        <v>309</v>
      </c>
    </row>
    <row r="129" spans="1:76" ht="14.6" x14ac:dyDescent="0.4">
      <c r="A129" s="38"/>
      <c r="D129" s="40" t="s">
        <v>310</v>
      </c>
      <c r="E129" s="41" t="s">
        <v>56</v>
      </c>
      <c r="G129" s="42">
        <v>0.35</v>
      </c>
      <c r="P129" s="43"/>
    </row>
    <row r="130" spans="1:76" ht="14.6" x14ac:dyDescent="0.4">
      <c r="A130" s="38"/>
      <c r="D130" s="40" t="s">
        <v>311</v>
      </c>
      <c r="E130" s="41" t="s">
        <v>56</v>
      </c>
      <c r="G130" s="42">
        <v>0.01</v>
      </c>
      <c r="P130" s="43"/>
    </row>
    <row r="131" spans="1:76" ht="27" customHeight="1" x14ac:dyDescent="0.4">
      <c r="A131" s="38"/>
      <c r="C131" s="44" t="s">
        <v>165</v>
      </c>
      <c r="D131" s="89" t="s">
        <v>312</v>
      </c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1"/>
    </row>
    <row r="132" spans="1:76" ht="14.6" x14ac:dyDescent="0.4">
      <c r="A132" s="2" t="s">
        <v>313</v>
      </c>
      <c r="B132" s="3" t="s">
        <v>57</v>
      </c>
      <c r="C132" s="3" t="s">
        <v>314</v>
      </c>
      <c r="D132" s="83" t="s">
        <v>315</v>
      </c>
      <c r="E132" s="84"/>
      <c r="F132" s="3" t="s">
        <v>94</v>
      </c>
      <c r="G132" s="35">
        <v>228.9</v>
      </c>
      <c r="H132" s="82"/>
      <c r="I132" s="36" t="s">
        <v>65</v>
      </c>
      <c r="J132" s="35">
        <f>G132*AO132</f>
        <v>0</v>
      </c>
      <c r="K132" s="35">
        <f>G132*AP132</f>
        <v>0</v>
      </c>
      <c r="L132" s="35">
        <f>G132*H132</f>
        <v>0</v>
      </c>
      <c r="M132" s="35">
        <f>L132*(1+BW132/100)</f>
        <v>0</v>
      </c>
      <c r="N132" s="35">
        <v>6.5000000000000002E-2</v>
      </c>
      <c r="O132" s="35">
        <f>G132*N132</f>
        <v>14.878500000000001</v>
      </c>
      <c r="P132" s="37" t="s">
        <v>316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12" t="s">
        <v>57</v>
      </c>
      <c r="AJ132" s="35">
        <f>IF(AN132=0,L132,0)</f>
        <v>0</v>
      </c>
      <c r="AK132" s="35">
        <f>IF(AN132=12,L132,0)</f>
        <v>0</v>
      </c>
      <c r="AL132" s="35">
        <f>IF(AN132=21,L132,0)</f>
        <v>0</v>
      </c>
      <c r="AN132" s="35">
        <v>21</v>
      </c>
      <c r="AO132" s="35">
        <f>H132*1</f>
        <v>0</v>
      </c>
      <c r="AP132" s="35">
        <f>H132*(1-1)</f>
        <v>0</v>
      </c>
      <c r="AQ132" s="36" t="s">
        <v>299</v>
      </c>
      <c r="AV132" s="35">
        <f>AW132+AX132</f>
        <v>0</v>
      </c>
      <c r="AW132" s="35">
        <f>G132*AO132</f>
        <v>0</v>
      </c>
      <c r="AX132" s="35">
        <f>G132*AP132</f>
        <v>0</v>
      </c>
      <c r="AY132" s="36" t="s">
        <v>300</v>
      </c>
      <c r="AZ132" s="36" t="s">
        <v>301</v>
      </c>
      <c r="BA132" s="12" t="s">
        <v>69</v>
      </c>
      <c r="BC132" s="35">
        <f>AW132+AX132</f>
        <v>0</v>
      </c>
      <c r="BD132" s="35">
        <f>H132/(100-BE132)*100</f>
        <v>0</v>
      </c>
      <c r="BE132" s="35">
        <v>0</v>
      </c>
      <c r="BF132" s="35">
        <f>O132</f>
        <v>14.878500000000001</v>
      </c>
      <c r="BH132" s="35">
        <f>G132*AO132</f>
        <v>0</v>
      </c>
      <c r="BI132" s="35">
        <f>G132*AP132</f>
        <v>0</v>
      </c>
      <c r="BJ132" s="35">
        <f>G132*H132</f>
        <v>0</v>
      </c>
      <c r="BK132" s="35"/>
      <c r="BL132" s="35"/>
      <c r="BW132" s="35" t="str">
        <f>I132</f>
        <v>21</v>
      </c>
      <c r="BX132" s="4" t="s">
        <v>315</v>
      </c>
    </row>
    <row r="133" spans="1:76" ht="14.6" x14ac:dyDescent="0.4">
      <c r="A133" s="38"/>
      <c r="D133" s="40" t="s">
        <v>317</v>
      </c>
      <c r="E133" s="41" t="s">
        <v>56</v>
      </c>
      <c r="G133" s="42">
        <v>218</v>
      </c>
      <c r="P133" s="43"/>
    </row>
    <row r="134" spans="1:76" ht="14.6" x14ac:dyDescent="0.4">
      <c r="A134" s="38"/>
      <c r="D134" s="40" t="s">
        <v>318</v>
      </c>
      <c r="E134" s="41" t="s">
        <v>56</v>
      </c>
      <c r="G134" s="42">
        <v>10.9</v>
      </c>
      <c r="P134" s="43"/>
    </row>
    <row r="135" spans="1:76" ht="27" customHeight="1" x14ac:dyDescent="0.4">
      <c r="A135" s="38"/>
      <c r="C135" s="44" t="s">
        <v>165</v>
      </c>
      <c r="D135" s="89" t="s">
        <v>319</v>
      </c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1"/>
    </row>
    <row r="136" spans="1:76" ht="14.6" x14ac:dyDescent="0.4">
      <c r="A136" s="2" t="s">
        <v>320</v>
      </c>
      <c r="B136" s="3" t="s">
        <v>57</v>
      </c>
      <c r="C136" s="3" t="s">
        <v>321</v>
      </c>
      <c r="D136" s="83" t="s">
        <v>322</v>
      </c>
      <c r="E136" s="84"/>
      <c r="F136" s="3" t="s">
        <v>228</v>
      </c>
      <c r="G136" s="35">
        <v>18.36</v>
      </c>
      <c r="H136" s="82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2.1999999999999999E-2</v>
      </c>
      <c r="O136" s="35">
        <f>G136*N136</f>
        <v>0.40391999999999995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H136*1</f>
        <v>0</v>
      </c>
      <c r="AP136" s="35">
        <f>H136*(1-1)</f>
        <v>0</v>
      </c>
      <c r="AQ136" s="36" t="s">
        <v>299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300</v>
      </c>
      <c r="AZ136" s="36" t="s">
        <v>301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0.40391999999999995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/>
      <c r="BW136" s="35" t="str">
        <f>I136</f>
        <v>21</v>
      </c>
      <c r="BX136" s="4" t="s">
        <v>322</v>
      </c>
    </row>
    <row r="137" spans="1:76" ht="14.6" x14ac:dyDescent="0.4">
      <c r="A137" s="38"/>
      <c r="D137" s="40" t="s">
        <v>323</v>
      </c>
      <c r="E137" s="41" t="s">
        <v>56</v>
      </c>
      <c r="G137" s="42">
        <v>18</v>
      </c>
      <c r="P137" s="43"/>
    </row>
    <row r="138" spans="1:76" ht="14.6" x14ac:dyDescent="0.4">
      <c r="A138" s="38"/>
      <c r="D138" s="40" t="s">
        <v>324</v>
      </c>
      <c r="E138" s="41" t="s">
        <v>56</v>
      </c>
      <c r="G138" s="42">
        <v>0.36</v>
      </c>
      <c r="P138" s="43"/>
    </row>
    <row r="139" spans="1:76" ht="14.6" x14ac:dyDescent="0.4">
      <c r="A139" s="2" t="s">
        <v>325</v>
      </c>
      <c r="B139" s="3" t="s">
        <v>57</v>
      </c>
      <c r="C139" s="3" t="s">
        <v>326</v>
      </c>
      <c r="D139" s="83" t="s">
        <v>327</v>
      </c>
      <c r="E139" s="84"/>
      <c r="F139" s="3" t="s">
        <v>64</v>
      </c>
      <c r="G139" s="35">
        <v>17.27</v>
      </c>
      <c r="H139" s="82"/>
      <c r="I139" s="36" t="s">
        <v>65</v>
      </c>
      <c r="J139" s="35">
        <f>G139*AO139</f>
        <v>0</v>
      </c>
      <c r="K139" s="35">
        <f>G139*AP139</f>
        <v>0</v>
      </c>
      <c r="L139" s="35">
        <f>G139*H139</f>
        <v>0</v>
      </c>
      <c r="M139" s="35">
        <f>L139*(1+BW139/100)</f>
        <v>0</v>
      </c>
      <c r="N139" s="35">
        <v>0.17599999999999999</v>
      </c>
      <c r="O139" s="35">
        <f>G139*N139</f>
        <v>3.0395199999999996</v>
      </c>
      <c r="P139" s="37" t="s">
        <v>66</v>
      </c>
      <c r="Z139" s="35">
        <f>IF(AQ139="5",BJ139,0)</f>
        <v>0</v>
      </c>
      <c r="AB139" s="35">
        <f>IF(AQ139="1",BH139,0)</f>
        <v>0</v>
      </c>
      <c r="AC139" s="35">
        <f>IF(AQ139="1",BI139,0)</f>
        <v>0</v>
      </c>
      <c r="AD139" s="35">
        <f>IF(AQ139="7",BH139,0)</f>
        <v>0</v>
      </c>
      <c r="AE139" s="35">
        <f>IF(AQ139="7",BI139,0)</f>
        <v>0</v>
      </c>
      <c r="AF139" s="35">
        <f>IF(AQ139="2",BH139,0)</f>
        <v>0</v>
      </c>
      <c r="AG139" s="35">
        <f>IF(AQ139="2",BI139,0)</f>
        <v>0</v>
      </c>
      <c r="AH139" s="35">
        <f>IF(AQ139="0",BJ139,0)</f>
        <v>0</v>
      </c>
      <c r="AI139" s="12" t="s">
        <v>57</v>
      </c>
      <c r="AJ139" s="35">
        <f>IF(AN139=0,L139,0)</f>
        <v>0</v>
      </c>
      <c r="AK139" s="35">
        <f>IF(AN139=12,L139,0)</f>
        <v>0</v>
      </c>
      <c r="AL139" s="35">
        <f>IF(AN139=21,L139,0)</f>
        <v>0</v>
      </c>
      <c r="AN139" s="35">
        <v>21</v>
      </c>
      <c r="AO139" s="35">
        <f>H139*1</f>
        <v>0</v>
      </c>
      <c r="AP139" s="35">
        <f>H139*(1-1)</f>
        <v>0</v>
      </c>
      <c r="AQ139" s="36" t="s">
        <v>299</v>
      </c>
      <c r="AV139" s="35">
        <f>AW139+AX139</f>
        <v>0</v>
      </c>
      <c r="AW139" s="35">
        <f>G139*AO139</f>
        <v>0</v>
      </c>
      <c r="AX139" s="35">
        <f>G139*AP139</f>
        <v>0</v>
      </c>
      <c r="AY139" s="36" t="s">
        <v>300</v>
      </c>
      <c r="AZ139" s="36" t="s">
        <v>301</v>
      </c>
      <c r="BA139" s="12" t="s">
        <v>69</v>
      </c>
      <c r="BC139" s="35">
        <f>AW139+AX139</f>
        <v>0</v>
      </c>
      <c r="BD139" s="35">
        <f>H139/(100-BE139)*100</f>
        <v>0</v>
      </c>
      <c r="BE139" s="35">
        <v>0</v>
      </c>
      <c r="BF139" s="35">
        <f>O139</f>
        <v>3.0395199999999996</v>
      </c>
      <c r="BH139" s="35">
        <f>G139*AO139</f>
        <v>0</v>
      </c>
      <c r="BI139" s="35">
        <f>G139*AP139</f>
        <v>0</v>
      </c>
      <c r="BJ139" s="35">
        <f>G139*H139</f>
        <v>0</v>
      </c>
      <c r="BK139" s="35"/>
      <c r="BL139" s="35"/>
      <c r="BW139" s="35" t="str">
        <f>I139</f>
        <v>21</v>
      </c>
      <c r="BX139" s="4" t="s">
        <v>327</v>
      </c>
    </row>
    <row r="140" spans="1:76" ht="14.6" x14ac:dyDescent="0.4">
      <c r="A140" s="38"/>
      <c r="D140" s="40" t="s">
        <v>328</v>
      </c>
      <c r="E140" s="41" t="s">
        <v>56</v>
      </c>
      <c r="G140" s="42">
        <v>15.7</v>
      </c>
      <c r="P140" s="43"/>
    </row>
    <row r="141" spans="1:76" ht="14.6" x14ac:dyDescent="0.4">
      <c r="A141" s="38"/>
      <c r="D141" s="40" t="s">
        <v>329</v>
      </c>
      <c r="E141" s="41" t="s">
        <v>56</v>
      </c>
      <c r="G141" s="42">
        <v>1.57</v>
      </c>
      <c r="P141" s="43"/>
    </row>
    <row r="142" spans="1:76" ht="14.6" x14ac:dyDescent="0.4">
      <c r="A142" s="2" t="s">
        <v>330</v>
      </c>
      <c r="B142" s="3" t="s">
        <v>57</v>
      </c>
      <c r="C142" s="3" t="s">
        <v>331</v>
      </c>
      <c r="D142" s="83" t="s">
        <v>332</v>
      </c>
      <c r="E142" s="84"/>
      <c r="F142" s="3" t="s">
        <v>64</v>
      </c>
      <c r="G142" s="35">
        <v>1.1000000000000001</v>
      </c>
      <c r="H142" s="82"/>
      <c r="I142" s="36" t="s">
        <v>65</v>
      </c>
      <c r="J142" s="35">
        <f>G142*AO142</f>
        <v>0</v>
      </c>
      <c r="K142" s="35">
        <f>G142*AP142</f>
        <v>0</v>
      </c>
      <c r="L142" s="35">
        <f>G142*H142</f>
        <v>0</v>
      </c>
      <c r="M142" s="35">
        <f>L142*(1+BW142/100)</f>
        <v>0</v>
      </c>
      <c r="N142" s="35">
        <v>0.113</v>
      </c>
      <c r="O142" s="35">
        <f>G142*N142</f>
        <v>0.12430000000000001</v>
      </c>
      <c r="P142" s="37" t="s">
        <v>66</v>
      </c>
      <c r="Z142" s="35">
        <f>IF(AQ142="5",BJ142,0)</f>
        <v>0</v>
      </c>
      <c r="AB142" s="35">
        <f>IF(AQ142="1",BH142,0)</f>
        <v>0</v>
      </c>
      <c r="AC142" s="35">
        <f>IF(AQ142="1",BI142,0)</f>
        <v>0</v>
      </c>
      <c r="AD142" s="35">
        <f>IF(AQ142="7",BH142,0)</f>
        <v>0</v>
      </c>
      <c r="AE142" s="35">
        <f>IF(AQ142="7",BI142,0)</f>
        <v>0</v>
      </c>
      <c r="AF142" s="35">
        <f>IF(AQ142="2",BH142,0)</f>
        <v>0</v>
      </c>
      <c r="AG142" s="35">
        <f>IF(AQ142="2",BI142,0)</f>
        <v>0</v>
      </c>
      <c r="AH142" s="35">
        <f>IF(AQ142="0",BJ142,0)</f>
        <v>0</v>
      </c>
      <c r="AI142" s="12" t="s">
        <v>57</v>
      </c>
      <c r="AJ142" s="35">
        <f>IF(AN142=0,L142,0)</f>
        <v>0</v>
      </c>
      <c r="AK142" s="35">
        <f>IF(AN142=12,L142,0)</f>
        <v>0</v>
      </c>
      <c r="AL142" s="35">
        <f>IF(AN142=21,L142,0)</f>
        <v>0</v>
      </c>
      <c r="AN142" s="35">
        <v>21</v>
      </c>
      <c r="AO142" s="35">
        <f>H142*1</f>
        <v>0</v>
      </c>
      <c r="AP142" s="35">
        <f>H142*(1-1)</f>
        <v>0</v>
      </c>
      <c r="AQ142" s="36" t="s">
        <v>299</v>
      </c>
      <c r="AV142" s="35">
        <f>AW142+AX142</f>
        <v>0</v>
      </c>
      <c r="AW142" s="35">
        <f>G142*AO142</f>
        <v>0</v>
      </c>
      <c r="AX142" s="35">
        <f>G142*AP142</f>
        <v>0</v>
      </c>
      <c r="AY142" s="36" t="s">
        <v>300</v>
      </c>
      <c r="AZ142" s="36" t="s">
        <v>301</v>
      </c>
      <c r="BA142" s="12" t="s">
        <v>69</v>
      </c>
      <c r="BC142" s="35">
        <f>AW142+AX142</f>
        <v>0</v>
      </c>
      <c r="BD142" s="35">
        <f>H142/(100-BE142)*100</f>
        <v>0</v>
      </c>
      <c r="BE142" s="35">
        <v>0</v>
      </c>
      <c r="BF142" s="35">
        <f>O142</f>
        <v>0.12430000000000001</v>
      </c>
      <c r="BH142" s="35">
        <f>G142*AO142</f>
        <v>0</v>
      </c>
      <c r="BI142" s="35">
        <f>G142*AP142</f>
        <v>0</v>
      </c>
      <c r="BJ142" s="35">
        <f>G142*H142</f>
        <v>0</v>
      </c>
      <c r="BK142" s="35"/>
      <c r="BL142" s="35"/>
      <c r="BW142" s="35" t="str">
        <f>I142</f>
        <v>21</v>
      </c>
      <c r="BX142" s="4" t="s">
        <v>332</v>
      </c>
    </row>
    <row r="143" spans="1:76" ht="14.6" x14ac:dyDescent="0.4">
      <c r="A143" s="38"/>
      <c r="D143" s="40" t="s">
        <v>333</v>
      </c>
      <c r="E143" s="41" t="s">
        <v>56</v>
      </c>
      <c r="G143" s="42">
        <v>1</v>
      </c>
      <c r="P143" s="43"/>
    </row>
    <row r="144" spans="1:76" ht="14.6" x14ac:dyDescent="0.4">
      <c r="A144" s="38"/>
      <c r="D144" s="40" t="s">
        <v>334</v>
      </c>
      <c r="E144" s="41" t="s">
        <v>56</v>
      </c>
      <c r="G144" s="42">
        <v>0.1</v>
      </c>
      <c r="P144" s="43"/>
    </row>
    <row r="145" spans="1:76" ht="13.5" customHeight="1" x14ac:dyDescent="0.4">
      <c r="A145" s="38"/>
      <c r="C145" s="44" t="s">
        <v>165</v>
      </c>
      <c r="D145" s="89" t="s">
        <v>335</v>
      </c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1"/>
    </row>
    <row r="146" spans="1:76" ht="14.6" x14ac:dyDescent="0.4">
      <c r="A146" s="2" t="s">
        <v>157</v>
      </c>
      <c r="B146" s="3" t="s">
        <v>57</v>
      </c>
      <c r="C146" s="3" t="s">
        <v>336</v>
      </c>
      <c r="D146" s="83" t="s">
        <v>337</v>
      </c>
      <c r="E146" s="84"/>
      <c r="F146" s="3" t="s">
        <v>64</v>
      </c>
      <c r="G146" s="35">
        <v>4.95</v>
      </c>
      <c r="H146" s="82"/>
      <c r="I146" s="36" t="s">
        <v>65</v>
      </c>
      <c r="J146" s="35">
        <f>G146*AO146</f>
        <v>0</v>
      </c>
      <c r="K146" s="35">
        <f>G146*AP146</f>
        <v>0</v>
      </c>
      <c r="L146" s="35">
        <f>G146*H146</f>
        <v>0</v>
      </c>
      <c r="M146" s="35">
        <f>L146*(1+BW146/100)</f>
        <v>0</v>
      </c>
      <c r="N146" s="35">
        <v>0.13600000000000001</v>
      </c>
      <c r="O146" s="35">
        <f>G146*N146</f>
        <v>0.67320000000000002</v>
      </c>
      <c r="P146" s="37" t="s">
        <v>66</v>
      </c>
      <c r="Z146" s="35">
        <f>IF(AQ146="5",BJ146,0)</f>
        <v>0</v>
      </c>
      <c r="AB146" s="35">
        <f>IF(AQ146="1",BH146,0)</f>
        <v>0</v>
      </c>
      <c r="AC146" s="35">
        <f>IF(AQ146="1",BI146,0)</f>
        <v>0</v>
      </c>
      <c r="AD146" s="35">
        <f>IF(AQ146="7",BH146,0)</f>
        <v>0</v>
      </c>
      <c r="AE146" s="35">
        <f>IF(AQ146="7",BI146,0)</f>
        <v>0</v>
      </c>
      <c r="AF146" s="35">
        <f>IF(AQ146="2",BH146,0)</f>
        <v>0</v>
      </c>
      <c r="AG146" s="35">
        <f>IF(AQ146="2",BI146,0)</f>
        <v>0</v>
      </c>
      <c r="AH146" s="35">
        <f>IF(AQ146="0",BJ146,0)</f>
        <v>0</v>
      </c>
      <c r="AI146" s="12" t="s">
        <v>57</v>
      </c>
      <c r="AJ146" s="35">
        <f>IF(AN146=0,L146,0)</f>
        <v>0</v>
      </c>
      <c r="AK146" s="35">
        <f>IF(AN146=12,L146,0)</f>
        <v>0</v>
      </c>
      <c r="AL146" s="35">
        <f>IF(AN146=21,L146,0)</f>
        <v>0</v>
      </c>
      <c r="AN146" s="35">
        <v>21</v>
      </c>
      <c r="AO146" s="35">
        <f>H146*1</f>
        <v>0</v>
      </c>
      <c r="AP146" s="35">
        <f>H146*(1-1)</f>
        <v>0</v>
      </c>
      <c r="AQ146" s="36" t="s">
        <v>299</v>
      </c>
      <c r="AV146" s="35">
        <f>AW146+AX146</f>
        <v>0</v>
      </c>
      <c r="AW146" s="35">
        <f>G146*AO146</f>
        <v>0</v>
      </c>
      <c r="AX146" s="35">
        <f>G146*AP146</f>
        <v>0</v>
      </c>
      <c r="AY146" s="36" t="s">
        <v>300</v>
      </c>
      <c r="AZ146" s="36" t="s">
        <v>301</v>
      </c>
      <c r="BA146" s="12" t="s">
        <v>69</v>
      </c>
      <c r="BC146" s="35">
        <f>AW146+AX146</f>
        <v>0</v>
      </c>
      <c r="BD146" s="35">
        <f>H146/(100-BE146)*100</f>
        <v>0</v>
      </c>
      <c r="BE146" s="35">
        <v>0</v>
      </c>
      <c r="BF146" s="35">
        <f>O146</f>
        <v>0.67320000000000002</v>
      </c>
      <c r="BH146" s="35">
        <f>G146*AO146</f>
        <v>0</v>
      </c>
      <c r="BI146" s="35">
        <f>G146*AP146</f>
        <v>0</v>
      </c>
      <c r="BJ146" s="35">
        <f>G146*H146</f>
        <v>0</v>
      </c>
      <c r="BK146" s="35"/>
      <c r="BL146" s="35"/>
      <c r="BW146" s="35" t="str">
        <f>I146</f>
        <v>21</v>
      </c>
      <c r="BX146" s="4" t="s">
        <v>337</v>
      </c>
    </row>
    <row r="147" spans="1:76" ht="14.6" x14ac:dyDescent="0.4">
      <c r="A147" s="38"/>
      <c r="D147" s="40" t="s">
        <v>338</v>
      </c>
      <c r="E147" s="41" t="s">
        <v>56</v>
      </c>
      <c r="G147" s="42">
        <v>4.5</v>
      </c>
      <c r="P147" s="43"/>
    </row>
    <row r="148" spans="1:76" ht="14.6" x14ac:dyDescent="0.4">
      <c r="A148" s="38"/>
      <c r="D148" s="40" t="s">
        <v>339</v>
      </c>
      <c r="E148" s="41" t="s">
        <v>56</v>
      </c>
      <c r="G148" s="42">
        <v>0.45</v>
      </c>
      <c r="P148" s="43"/>
    </row>
    <row r="149" spans="1:76" ht="13.5" customHeight="1" x14ac:dyDescent="0.4">
      <c r="A149" s="38"/>
      <c r="C149" s="44" t="s">
        <v>165</v>
      </c>
      <c r="D149" s="89" t="s">
        <v>340</v>
      </c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1"/>
    </row>
    <row r="150" spans="1:76" ht="14.6" x14ac:dyDescent="0.4">
      <c r="A150" s="2" t="s">
        <v>186</v>
      </c>
      <c r="B150" s="3" t="s">
        <v>57</v>
      </c>
      <c r="C150" s="3" t="s">
        <v>341</v>
      </c>
      <c r="D150" s="83" t="s">
        <v>342</v>
      </c>
      <c r="E150" s="84"/>
      <c r="F150" s="3" t="s">
        <v>64</v>
      </c>
      <c r="G150" s="35">
        <v>6.3</v>
      </c>
      <c r="H150" s="82"/>
      <c r="I150" s="36" t="s">
        <v>65</v>
      </c>
      <c r="J150" s="35">
        <f>G150*AO150</f>
        <v>0</v>
      </c>
      <c r="K150" s="35">
        <f>G150*AP150</f>
        <v>0</v>
      </c>
      <c r="L150" s="35">
        <f>G150*H150</f>
        <v>0</v>
      </c>
      <c r="M150" s="35">
        <f>L150*(1+BW150/100)</f>
        <v>0</v>
      </c>
      <c r="N150" s="35">
        <v>8.6999999999999994E-2</v>
      </c>
      <c r="O150" s="35">
        <f>G150*N150</f>
        <v>0.54809999999999992</v>
      </c>
      <c r="P150" s="37" t="s">
        <v>66</v>
      </c>
      <c r="Z150" s="35">
        <f>IF(AQ150="5",BJ150,0)</f>
        <v>0</v>
      </c>
      <c r="AB150" s="35">
        <f>IF(AQ150="1",BH150,0)</f>
        <v>0</v>
      </c>
      <c r="AC150" s="35">
        <f>IF(AQ150="1",BI150,0)</f>
        <v>0</v>
      </c>
      <c r="AD150" s="35">
        <f>IF(AQ150="7",BH150,0)</f>
        <v>0</v>
      </c>
      <c r="AE150" s="35">
        <f>IF(AQ150="7",BI150,0)</f>
        <v>0</v>
      </c>
      <c r="AF150" s="35">
        <f>IF(AQ150="2",BH150,0)</f>
        <v>0</v>
      </c>
      <c r="AG150" s="35">
        <f>IF(AQ150="2",BI150,0)</f>
        <v>0</v>
      </c>
      <c r="AH150" s="35">
        <f>IF(AQ150="0",BJ150,0)</f>
        <v>0</v>
      </c>
      <c r="AI150" s="12" t="s">
        <v>57</v>
      </c>
      <c r="AJ150" s="35">
        <f>IF(AN150=0,L150,0)</f>
        <v>0</v>
      </c>
      <c r="AK150" s="35">
        <f>IF(AN150=12,L150,0)</f>
        <v>0</v>
      </c>
      <c r="AL150" s="35">
        <f>IF(AN150=21,L150,0)</f>
        <v>0</v>
      </c>
      <c r="AN150" s="35">
        <v>21</v>
      </c>
      <c r="AO150" s="35">
        <f>H150*1</f>
        <v>0</v>
      </c>
      <c r="AP150" s="35">
        <f>H150*(1-1)</f>
        <v>0</v>
      </c>
      <c r="AQ150" s="36" t="s">
        <v>299</v>
      </c>
      <c r="AV150" s="35">
        <f>AW150+AX150</f>
        <v>0</v>
      </c>
      <c r="AW150" s="35">
        <f>G150*AO150</f>
        <v>0</v>
      </c>
      <c r="AX150" s="35">
        <f>G150*AP150</f>
        <v>0</v>
      </c>
      <c r="AY150" s="36" t="s">
        <v>300</v>
      </c>
      <c r="AZ150" s="36" t="s">
        <v>301</v>
      </c>
      <c r="BA150" s="12" t="s">
        <v>69</v>
      </c>
      <c r="BC150" s="35">
        <f>AW150+AX150</f>
        <v>0</v>
      </c>
      <c r="BD150" s="35">
        <f>H150/(100-BE150)*100</f>
        <v>0</v>
      </c>
      <c r="BE150" s="35">
        <v>0</v>
      </c>
      <c r="BF150" s="35">
        <f>O150</f>
        <v>0.54809999999999992</v>
      </c>
      <c r="BH150" s="35">
        <f>G150*AO150</f>
        <v>0</v>
      </c>
      <c r="BI150" s="35">
        <f>G150*AP150</f>
        <v>0</v>
      </c>
      <c r="BJ150" s="35">
        <f>G150*H150</f>
        <v>0</v>
      </c>
      <c r="BK150" s="35"/>
      <c r="BL150" s="35"/>
      <c r="BW150" s="35" t="str">
        <f>I150</f>
        <v>21</v>
      </c>
      <c r="BX150" s="4" t="s">
        <v>342</v>
      </c>
    </row>
    <row r="151" spans="1:76" ht="14.6" x14ac:dyDescent="0.4">
      <c r="A151" s="38"/>
      <c r="D151" s="40" t="s">
        <v>343</v>
      </c>
      <c r="E151" s="41" t="s">
        <v>56</v>
      </c>
      <c r="G151" s="42">
        <v>6</v>
      </c>
      <c r="P151" s="43"/>
    </row>
    <row r="152" spans="1:76" ht="14.6" x14ac:dyDescent="0.4">
      <c r="A152" s="38"/>
      <c r="D152" s="40" t="s">
        <v>344</v>
      </c>
      <c r="E152" s="41" t="s">
        <v>56</v>
      </c>
      <c r="G152" s="42">
        <v>0.3</v>
      </c>
      <c r="P152" s="43"/>
    </row>
    <row r="153" spans="1:76" ht="14.6" x14ac:dyDescent="0.4">
      <c r="A153" s="2" t="s">
        <v>345</v>
      </c>
      <c r="B153" s="3" t="s">
        <v>57</v>
      </c>
      <c r="C153" s="3" t="s">
        <v>346</v>
      </c>
      <c r="D153" s="83" t="s">
        <v>347</v>
      </c>
      <c r="E153" s="84"/>
      <c r="F153" s="3" t="s">
        <v>228</v>
      </c>
      <c r="G153" s="35">
        <v>3450.22</v>
      </c>
      <c r="H153" s="82"/>
      <c r="I153" s="36" t="s">
        <v>65</v>
      </c>
      <c r="J153" s="35">
        <f>G153*AO153</f>
        <v>0</v>
      </c>
      <c r="K153" s="35">
        <f>G153*AP153</f>
        <v>0</v>
      </c>
      <c r="L153" s="35">
        <f>G153*H153</f>
        <v>0</v>
      </c>
      <c r="M153" s="35">
        <f>L153*(1+BW153/100)</f>
        <v>0</v>
      </c>
      <c r="N153" s="35">
        <v>8.9999999999999993E-3</v>
      </c>
      <c r="O153" s="35">
        <f>G153*N153</f>
        <v>31.051979999999997</v>
      </c>
      <c r="P153" s="37" t="s">
        <v>66</v>
      </c>
      <c r="Z153" s="35">
        <f>IF(AQ153="5",BJ153,0)</f>
        <v>0</v>
      </c>
      <c r="AB153" s="35">
        <f>IF(AQ153="1",BH153,0)</f>
        <v>0</v>
      </c>
      <c r="AC153" s="35">
        <f>IF(AQ153="1",BI153,0)</f>
        <v>0</v>
      </c>
      <c r="AD153" s="35">
        <f>IF(AQ153="7",BH153,0)</f>
        <v>0</v>
      </c>
      <c r="AE153" s="35">
        <f>IF(AQ153="7",BI153,0)</f>
        <v>0</v>
      </c>
      <c r="AF153" s="35">
        <f>IF(AQ153="2",BH153,0)</f>
        <v>0</v>
      </c>
      <c r="AG153" s="35">
        <f>IF(AQ153="2",BI153,0)</f>
        <v>0</v>
      </c>
      <c r="AH153" s="35">
        <f>IF(AQ153="0",BJ153,0)</f>
        <v>0</v>
      </c>
      <c r="AI153" s="12" t="s">
        <v>57</v>
      </c>
      <c r="AJ153" s="35">
        <f>IF(AN153=0,L153,0)</f>
        <v>0</v>
      </c>
      <c r="AK153" s="35">
        <f>IF(AN153=12,L153,0)</f>
        <v>0</v>
      </c>
      <c r="AL153" s="35">
        <f>IF(AN153=21,L153,0)</f>
        <v>0</v>
      </c>
      <c r="AN153" s="35">
        <v>21</v>
      </c>
      <c r="AO153" s="35">
        <f>H153*1</f>
        <v>0</v>
      </c>
      <c r="AP153" s="35">
        <f>H153*(1-1)</f>
        <v>0</v>
      </c>
      <c r="AQ153" s="36" t="s">
        <v>299</v>
      </c>
      <c r="AV153" s="35">
        <f>AW153+AX153</f>
        <v>0</v>
      </c>
      <c r="AW153" s="35">
        <f>G153*AO153</f>
        <v>0</v>
      </c>
      <c r="AX153" s="35">
        <f>G153*AP153</f>
        <v>0</v>
      </c>
      <c r="AY153" s="36" t="s">
        <v>300</v>
      </c>
      <c r="AZ153" s="36" t="s">
        <v>301</v>
      </c>
      <c r="BA153" s="12" t="s">
        <v>69</v>
      </c>
      <c r="BC153" s="35">
        <f>AW153+AX153</f>
        <v>0</v>
      </c>
      <c r="BD153" s="35">
        <f>H153/(100-BE153)*100</f>
        <v>0</v>
      </c>
      <c r="BE153" s="35">
        <v>0</v>
      </c>
      <c r="BF153" s="35">
        <f>O153</f>
        <v>31.051979999999997</v>
      </c>
      <c r="BH153" s="35">
        <f>G153*AO153</f>
        <v>0</v>
      </c>
      <c r="BI153" s="35">
        <f>G153*AP153</f>
        <v>0</v>
      </c>
      <c r="BJ153" s="35">
        <f>G153*H153</f>
        <v>0</v>
      </c>
      <c r="BK153" s="35"/>
      <c r="BL153" s="35"/>
      <c r="BW153" s="35" t="str">
        <f>I153</f>
        <v>21</v>
      </c>
      <c r="BX153" s="4" t="s">
        <v>347</v>
      </c>
    </row>
    <row r="154" spans="1:76" ht="14.6" x14ac:dyDescent="0.4">
      <c r="A154" s="38"/>
      <c r="D154" s="40" t="s">
        <v>348</v>
      </c>
      <c r="E154" s="41" t="s">
        <v>56</v>
      </c>
      <c r="G154" s="42">
        <v>3285.92</v>
      </c>
      <c r="P154" s="43"/>
    </row>
    <row r="155" spans="1:76" ht="14.6" x14ac:dyDescent="0.4">
      <c r="A155" s="38"/>
      <c r="D155" s="40" t="s">
        <v>349</v>
      </c>
      <c r="E155" s="41" t="s">
        <v>56</v>
      </c>
      <c r="G155" s="42">
        <v>164.3</v>
      </c>
      <c r="P155" s="43"/>
    </row>
    <row r="156" spans="1:76" ht="14.6" x14ac:dyDescent="0.4">
      <c r="A156" s="31" t="s">
        <v>56</v>
      </c>
      <c r="B156" s="32" t="s">
        <v>350</v>
      </c>
      <c r="C156" s="32" t="s">
        <v>56</v>
      </c>
      <c r="D156" s="92" t="s">
        <v>351</v>
      </c>
      <c r="E156" s="93"/>
      <c r="F156" s="33" t="s">
        <v>4</v>
      </c>
      <c r="G156" s="33" t="s">
        <v>4</v>
      </c>
      <c r="H156" s="33" t="s">
        <v>4</v>
      </c>
      <c r="I156" s="33" t="s">
        <v>4</v>
      </c>
      <c r="J156" s="1">
        <f>J157+J163+J183+J186+J221+J237+J246</f>
        <v>0</v>
      </c>
      <c r="K156" s="1">
        <f>K157+K163+K183+K186+K221+K237+K246</f>
        <v>0</v>
      </c>
      <c r="L156" s="1">
        <f>L157+L163+L183+L186+L221+L237+L246</f>
        <v>0</v>
      </c>
      <c r="M156" s="1">
        <f>M157+M163+M183+M186+M221+M237+M246</f>
        <v>0</v>
      </c>
      <c r="N156" s="12" t="s">
        <v>56</v>
      </c>
      <c r="O156" s="1">
        <f>O157+O163+O183+O186+O221+O237+O246</f>
        <v>37.7973675</v>
      </c>
      <c r="P156" s="34" t="s">
        <v>56</v>
      </c>
    </row>
    <row r="157" spans="1:76" ht="14.6" x14ac:dyDescent="0.4">
      <c r="A157" s="31" t="s">
        <v>56</v>
      </c>
      <c r="B157" s="32" t="s">
        <v>350</v>
      </c>
      <c r="C157" s="32" t="s">
        <v>352</v>
      </c>
      <c r="D157" s="92" t="s">
        <v>353</v>
      </c>
      <c r="E157" s="93"/>
      <c r="F157" s="33" t="s">
        <v>4</v>
      </c>
      <c r="G157" s="33" t="s">
        <v>4</v>
      </c>
      <c r="H157" s="33" t="s">
        <v>4</v>
      </c>
      <c r="I157" s="33" t="s">
        <v>4</v>
      </c>
      <c r="J157" s="1">
        <f>SUM(J158:J161)</f>
        <v>0</v>
      </c>
      <c r="K157" s="1">
        <f>SUM(K158:K161)</f>
        <v>0</v>
      </c>
      <c r="L157" s="1">
        <f>SUM(L158:L161)</f>
        <v>0</v>
      </c>
      <c r="M157" s="1">
        <f>SUM(M158:M161)</f>
        <v>0</v>
      </c>
      <c r="N157" s="12" t="s">
        <v>56</v>
      </c>
      <c r="O157" s="1">
        <f>SUM(O158:O161)</f>
        <v>0</v>
      </c>
      <c r="P157" s="34" t="s">
        <v>56</v>
      </c>
      <c r="AI157" s="12" t="s">
        <v>350</v>
      </c>
      <c r="AS157" s="1">
        <f>SUM(AJ158:AJ161)</f>
        <v>0</v>
      </c>
      <c r="AT157" s="1">
        <f>SUM(AK158:AK161)</f>
        <v>0</v>
      </c>
      <c r="AU157" s="1">
        <f>SUM(AL158:AL161)</f>
        <v>0</v>
      </c>
    </row>
    <row r="158" spans="1:76" ht="14.6" x14ac:dyDescent="0.4">
      <c r="A158" s="2" t="s">
        <v>197</v>
      </c>
      <c r="B158" s="3" t="s">
        <v>350</v>
      </c>
      <c r="C158" s="3" t="s">
        <v>354</v>
      </c>
      <c r="D158" s="83" t="s">
        <v>355</v>
      </c>
      <c r="E158" s="84"/>
      <c r="F158" s="3" t="s">
        <v>356</v>
      </c>
      <c r="G158" s="35">
        <v>12</v>
      </c>
      <c r="H158" s="82"/>
      <c r="I158" s="36" t="s">
        <v>65</v>
      </c>
      <c r="J158" s="35">
        <f>G158*AO158</f>
        <v>0</v>
      </c>
      <c r="K158" s="35">
        <f>G158*AP158</f>
        <v>0</v>
      </c>
      <c r="L158" s="35">
        <f>G158*H158</f>
        <v>0</v>
      </c>
      <c r="M158" s="35">
        <f>L158*(1+BW158/100)</f>
        <v>0</v>
      </c>
      <c r="N158" s="35">
        <v>0</v>
      </c>
      <c r="O158" s="35">
        <f>G158*N158</f>
        <v>0</v>
      </c>
      <c r="P158" s="37" t="s">
        <v>66</v>
      </c>
      <c r="Z158" s="35">
        <f>IF(AQ158="5",BJ158,0)</f>
        <v>0</v>
      </c>
      <c r="AB158" s="35">
        <f>IF(AQ158="1",BH158,0)</f>
        <v>0</v>
      </c>
      <c r="AC158" s="35">
        <f>IF(AQ158="1",BI158,0)</f>
        <v>0</v>
      </c>
      <c r="AD158" s="35">
        <f>IF(AQ158="7",BH158,0)</f>
        <v>0</v>
      </c>
      <c r="AE158" s="35">
        <f>IF(AQ158="7",BI158,0)</f>
        <v>0</v>
      </c>
      <c r="AF158" s="35">
        <f>IF(AQ158="2",BH158,0)</f>
        <v>0</v>
      </c>
      <c r="AG158" s="35">
        <f>IF(AQ158="2",BI158,0)</f>
        <v>0</v>
      </c>
      <c r="AH158" s="35">
        <f>IF(AQ158="0",BJ158,0)</f>
        <v>0</v>
      </c>
      <c r="AI158" s="12" t="s">
        <v>350</v>
      </c>
      <c r="AJ158" s="35">
        <f>IF(AN158=0,L158,0)</f>
        <v>0</v>
      </c>
      <c r="AK158" s="35">
        <f>IF(AN158=12,L158,0)</f>
        <v>0</v>
      </c>
      <c r="AL158" s="35">
        <f>IF(AN158=21,L158,0)</f>
        <v>0</v>
      </c>
      <c r="AN158" s="35">
        <v>21</v>
      </c>
      <c r="AO158" s="35">
        <f>H158*0</f>
        <v>0</v>
      </c>
      <c r="AP158" s="35">
        <f>H158*(1-0)</f>
        <v>0</v>
      </c>
      <c r="AQ158" s="36" t="s">
        <v>61</v>
      </c>
      <c r="AV158" s="35">
        <f>AW158+AX158</f>
        <v>0</v>
      </c>
      <c r="AW158" s="35">
        <f>G158*AO158</f>
        <v>0</v>
      </c>
      <c r="AX158" s="35">
        <f>G158*AP158</f>
        <v>0</v>
      </c>
      <c r="AY158" s="36" t="s">
        <v>357</v>
      </c>
      <c r="AZ158" s="36" t="s">
        <v>358</v>
      </c>
      <c r="BA158" s="12" t="s">
        <v>359</v>
      </c>
      <c r="BC158" s="35">
        <f>AW158+AX158</f>
        <v>0</v>
      </c>
      <c r="BD158" s="35">
        <f>H158/(100-BE158)*100</f>
        <v>0</v>
      </c>
      <c r="BE158" s="35">
        <v>0</v>
      </c>
      <c r="BF158" s="35">
        <f>O158</f>
        <v>0</v>
      </c>
      <c r="BH158" s="35">
        <f>G158*AO158</f>
        <v>0</v>
      </c>
      <c r="BI158" s="35">
        <f>G158*AP158</f>
        <v>0</v>
      </c>
      <c r="BJ158" s="35">
        <f>G158*H158</f>
        <v>0</v>
      </c>
      <c r="BK158" s="35"/>
      <c r="BL158" s="35">
        <v>90</v>
      </c>
      <c r="BW158" s="35" t="str">
        <f>I158</f>
        <v>21</v>
      </c>
      <c r="BX158" s="4" t="s">
        <v>355</v>
      </c>
    </row>
    <row r="159" spans="1:76" ht="13.5" customHeight="1" x14ac:dyDescent="0.4">
      <c r="A159" s="38"/>
      <c r="C159" s="39" t="s">
        <v>73</v>
      </c>
      <c r="D159" s="94" t="s">
        <v>360</v>
      </c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6"/>
    </row>
    <row r="160" spans="1:76" ht="13.5" customHeight="1" x14ac:dyDescent="0.4">
      <c r="A160" s="38"/>
      <c r="C160" s="44" t="s">
        <v>165</v>
      </c>
      <c r="D160" s="89" t="s">
        <v>361</v>
      </c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1"/>
    </row>
    <row r="161" spans="1:76" ht="14.6" x14ac:dyDescent="0.4">
      <c r="A161" s="2" t="s">
        <v>362</v>
      </c>
      <c r="B161" s="3" t="s">
        <v>350</v>
      </c>
      <c r="C161" s="3" t="s">
        <v>363</v>
      </c>
      <c r="D161" s="83" t="s">
        <v>364</v>
      </c>
      <c r="E161" s="84"/>
      <c r="F161" s="3" t="s">
        <v>356</v>
      </c>
      <c r="G161" s="35">
        <v>25</v>
      </c>
      <c r="H161" s="82"/>
      <c r="I161" s="36" t="s">
        <v>65</v>
      </c>
      <c r="J161" s="35">
        <f>G161*AO161</f>
        <v>0</v>
      </c>
      <c r="K161" s="35">
        <f>G161*AP161</f>
        <v>0</v>
      </c>
      <c r="L161" s="35">
        <f>G161*H161</f>
        <v>0</v>
      </c>
      <c r="M161" s="35">
        <f>L161*(1+BW161/100)</f>
        <v>0</v>
      </c>
      <c r="N161" s="35">
        <v>0</v>
      </c>
      <c r="O161" s="35">
        <f>G161*N161</f>
        <v>0</v>
      </c>
      <c r="P161" s="37" t="s">
        <v>66</v>
      </c>
      <c r="Z161" s="35">
        <f>IF(AQ161="5",BJ161,0)</f>
        <v>0</v>
      </c>
      <c r="AB161" s="35">
        <f>IF(AQ161="1",BH161,0)</f>
        <v>0</v>
      </c>
      <c r="AC161" s="35">
        <f>IF(AQ161="1",BI161,0)</f>
        <v>0</v>
      </c>
      <c r="AD161" s="35">
        <f>IF(AQ161="7",BH161,0)</f>
        <v>0</v>
      </c>
      <c r="AE161" s="35">
        <f>IF(AQ161="7",BI161,0)</f>
        <v>0</v>
      </c>
      <c r="AF161" s="35">
        <f>IF(AQ161="2",BH161,0)</f>
        <v>0</v>
      </c>
      <c r="AG161" s="35">
        <f>IF(AQ161="2",BI161,0)</f>
        <v>0</v>
      </c>
      <c r="AH161" s="35">
        <f>IF(AQ161="0",BJ161,0)</f>
        <v>0</v>
      </c>
      <c r="AI161" s="12" t="s">
        <v>350</v>
      </c>
      <c r="AJ161" s="35">
        <f>IF(AN161=0,L161,0)</f>
        <v>0</v>
      </c>
      <c r="AK161" s="35">
        <f>IF(AN161=12,L161,0)</f>
        <v>0</v>
      </c>
      <c r="AL161" s="35">
        <f>IF(AN161=21,L161,0)</f>
        <v>0</v>
      </c>
      <c r="AN161" s="35">
        <v>21</v>
      </c>
      <c r="AO161" s="35">
        <f>H161*0</f>
        <v>0</v>
      </c>
      <c r="AP161" s="35">
        <f>H161*(1-0)</f>
        <v>0</v>
      </c>
      <c r="AQ161" s="36" t="s">
        <v>61</v>
      </c>
      <c r="AV161" s="35">
        <f>AW161+AX161</f>
        <v>0</v>
      </c>
      <c r="AW161" s="35">
        <f>G161*AO161</f>
        <v>0</v>
      </c>
      <c r="AX161" s="35">
        <f>G161*AP161</f>
        <v>0</v>
      </c>
      <c r="AY161" s="36" t="s">
        <v>357</v>
      </c>
      <c r="AZ161" s="36" t="s">
        <v>358</v>
      </c>
      <c r="BA161" s="12" t="s">
        <v>359</v>
      </c>
      <c r="BC161" s="35">
        <f>AW161+AX161</f>
        <v>0</v>
      </c>
      <c r="BD161" s="35">
        <f>H161/(100-BE161)*100</f>
        <v>0</v>
      </c>
      <c r="BE161" s="35">
        <v>0</v>
      </c>
      <c r="BF161" s="35">
        <f>O161</f>
        <v>0</v>
      </c>
      <c r="BH161" s="35">
        <f>G161*AO161</f>
        <v>0</v>
      </c>
      <c r="BI161" s="35">
        <f>G161*AP161</f>
        <v>0</v>
      </c>
      <c r="BJ161" s="35">
        <f>G161*H161</f>
        <v>0</v>
      </c>
      <c r="BK161" s="35"/>
      <c r="BL161" s="35">
        <v>90</v>
      </c>
      <c r="BW161" s="35" t="str">
        <f>I161</f>
        <v>21</v>
      </c>
      <c r="BX161" s="4" t="s">
        <v>364</v>
      </c>
    </row>
    <row r="162" spans="1:76" ht="27" customHeight="1" x14ac:dyDescent="0.4">
      <c r="A162" s="38"/>
      <c r="C162" s="44" t="s">
        <v>165</v>
      </c>
      <c r="D162" s="89" t="s">
        <v>365</v>
      </c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1"/>
    </row>
    <row r="163" spans="1:76" ht="14.6" x14ac:dyDescent="0.4">
      <c r="A163" s="31" t="s">
        <v>56</v>
      </c>
      <c r="B163" s="32" t="s">
        <v>350</v>
      </c>
      <c r="C163" s="32" t="s">
        <v>366</v>
      </c>
      <c r="D163" s="92" t="s">
        <v>367</v>
      </c>
      <c r="E163" s="93"/>
      <c r="F163" s="33" t="s">
        <v>4</v>
      </c>
      <c r="G163" s="33" t="s">
        <v>4</v>
      </c>
      <c r="H163" s="33" t="s">
        <v>4</v>
      </c>
      <c r="I163" s="33" t="s">
        <v>4</v>
      </c>
      <c r="J163" s="1">
        <f>SUM(J164:J180)</f>
        <v>0</v>
      </c>
      <c r="K163" s="1">
        <f>SUM(K164:K180)</f>
        <v>0</v>
      </c>
      <c r="L163" s="1">
        <f>SUM(L164:L180)</f>
        <v>0</v>
      </c>
      <c r="M163" s="1">
        <f>SUM(M164:M180)</f>
        <v>0</v>
      </c>
      <c r="N163" s="12" t="s">
        <v>56</v>
      </c>
      <c r="O163" s="1">
        <f>SUM(O164:O180)</f>
        <v>0.31169999999999998</v>
      </c>
      <c r="P163" s="34" t="s">
        <v>56</v>
      </c>
      <c r="AI163" s="12" t="s">
        <v>350</v>
      </c>
      <c r="AS163" s="1">
        <f>SUM(AJ164:AJ180)</f>
        <v>0</v>
      </c>
      <c r="AT163" s="1">
        <f>SUM(AK164:AK180)</f>
        <v>0</v>
      </c>
      <c r="AU163" s="1">
        <f>SUM(AL164:AL180)</f>
        <v>0</v>
      </c>
    </row>
    <row r="164" spans="1:76" ht="14.6" x14ac:dyDescent="0.4">
      <c r="A164" s="2" t="s">
        <v>368</v>
      </c>
      <c r="B164" s="3" t="s">
        <v>350</v>
      </c>
      <c r="C164" s="3" t="s">
        <v>369</v>
      </c>
      <c r="D164" s="83" t="s">
        <v>370</v>
      </c>
      <c r="E164" s="84"/>
      <c r="F164" s="3" t="s">
        <v>228</v>
      </c>
      <c r="G164" s="35">
        <v>6</v>
      </c>
      <c r="H164" s="82"/>
      <c r="I164" s="36" t="s">
        <v>65</v>
      </c>
      <c r="J164" s="35">
        <f>G164*AO164</f>
        <v>0</v>
      </c>
      <c r="K164" s="35">
        <f>G164*AP164</f>
        <v>0</v>
      </c>
      <c r="L164" s="35">
        <f>G164*H164</f>
        <v>0</v>
      </c>
      <c r="M164" s="35">
        <f>L164*(1+BW164/100)</f>
        <v>0</v>
      </c>
      <c r="N164" s="35">
        <v>0</v>
      </c>
      <c r="O164" s="35">
        <f>G164*N164</f>
        <v>0</v>
      </c>
      <c r="P164" s="37" t="s">
        <v>66</v>
      </c>
      <c r="Z164" s="35">
        <f>IF(AQ164="5",BJ164,0)</f>
        <v>0</v>
      </c>
      <c r="AB164" s="35">
        <f>IF(AQ164="1",BH164,0)</f>
        <v>0</v>
      </c>
      <c r="AC164" s="35">
        <f>IF(AQ164="1",BI164,0)</f>
        <v>0</v>
      </c>
      <c r="AD164" s="35">
        <f>IF(AQ164="7",BH164,0)</f>
        <v>0</v>
      </c>
      <c r="AE164" s="35">
        <f>IF(AQ164="7",BI164,0)</f>
        <v>0</v>
      </c>
      <c r="AF164" s="35">
        <f>IF(AQ164="2",BH164,0)</f>
        <v>0</v>
      </c>
      <c r="AG164" s="35">
        <f>IF(AQ164="2",BI164,0)</f>
        <v>0</v>
      </c>
      <c r="AH164" s="35">
        <f>IF(AQ164="0",BJ164,0)</f>
        <v>0</v>
      </c>
      <c r="AI164" s="12" t="s">
        <v>350</v>
      </c>
      <c r="AJ164" s="35">
        <f>IF(AN164=0,L164,0)</f>
        <v>0</v>
      </c>
      <c r="AK164" s="35">
        <f>IF(AN164=12,L164,0)</f>
        <v>0</v>
      </c>
      <c r="AL164" s="35">
        <f>IF(AN164=21,L164,0)</f>
        <v>0</v>
      </c>
      <c r="AN164" s="35">
        <v>21</v>
      </c>
      <c r="AO164" s="35">
        <f>H164*0</f>
        <v>0</v>
      </c>
      <c r="AP164" s="35">
        <f>H164*(1-0)</f>
        <v>0</v>
      </c>
      <c r="AQ164" s="36" t="s">
        <v>70</v>
      </c>
      <c r="AV164" s="35">
        <f>AW164+AX164</f>
        <v>0</v>
      </c>
      <c r="AW164" s="35">
        <f>G164*AO164</f>
        <v>0</v>
      </c>
      <c r="AX164" s="35">
        <f>G164*AP164</f>
        <v>0</v>
      </c>
      <c r="AY164" s="36" t="s">
        <v>371</v>
      </c>
      <c r="AZ164" s="36" t="s">
        <v>358</v>
      </c>
      <c r="BA164" s="12" t="s">
        <v>359</v>
      </c>
      <c r="BC164" s="35">
        <f>AW164+AX164</f>
        <v>0</v>
      </c>
      <c r="BD164" s="35">
        <f>H164/(100-BE164)*100</f>
        <v>0</v>
      </c>
      <c r="BE164" s="35">
        <v>0</v>
      </c>
      <c r="BF164" s="35">
        <f>O164</f>
        <v>0</v>
      </c>
      <c r="BH164" s="35">
        <f>G164*AO164</f>
        <v>0</v>
      </c>
      <c r="BI164" s="35">
        <f>G164*AP164</f>
        <v>0</v>
      </c>
      <c r="BJ164" s="35">
        <f>G164*H164</f>
        <v>0</v>
      </c>
      <c r="BK164" s="35"/>
      <c r="BL164" s="35"/>
      <c r="BW164" s="35" t="str">
        <f>I164</f>
        <v>21</v>
      </c>
      <c r="BX164" s="4" t="s">
        <v>370</v>
      </c>
    </row>
    <row r="165" spans="1:76" ht="14.6" x14ac:dyDescent="0.4">
      <c r="A165" s="2" t="s">
        <v>372</v>
      </c>
      <c r="B165" s="3" t="s">
        <v>350</v>
      </c>
      <c r="C165" s="3" t="s">
        <v>373</v>
      </c>
      <c r="D165" s="83" t="s">
        <v>374</v>
      </c>
      <c r="E165" s="84"/>
      <c r="F165" s="3" t="s">
        <v>228</v>
      </c>
      <c r="G165" s="35">
        <v>12</v>
      </c>
      <c r="H165" s="82"/>
      <c r="I165" s="36" t="s">
        <v>65</v>
      </c>
      <c r="J165" s="35">
        <f>G165*AO165</f>
        <v>0</v>
      </c>
      <c r="K165" s="35">
        <f>G165*AP165</f>
        <v>0</v>
      </c>
      <c r="L165" s="35">
        <f>G165*H165</f>
        <v>0</v>
      </c>
      <c r="M165" s="35">
        <f>L165*(1+BW165/100)</f>
        <v>0</v>
      </c>
      <c r="N165" s="35">
        <v>0</v>
      </c>
      <c r="O165" s="35">
        <f>G165*N165</f>
        <v>0</v>
      </c>
      <c r="P165" s="37" t="s">
        <v>66</v>
      </c>
      <c r="Z165" s="35">
        <f>IF(AQ165="5",BJ165,0)</f>
        <v>0</v>
      </c>
      <c r="AB165" s="35">
        <f>IF(AQ165="1",BH165,0)</f>
        <v>0</v>
      </c>
      <c r="AC165" s="35">
        <f>IF(AQ165="1",BI165,0)</f>
        <v>0</v>
      </c>
      <c r="AD165" s="35">
        <f>IF(AQ165="7",BH165,0)</f>
        <v>0</v>
      </c>
      <c r="AE165" s="35">
        <f>IF(AQ165="7",BI165,0)</f>
        <v>0</v>
      </c>
      <c r="AF165" s="35">
        <f>IF(AQ165="2",BH165,0)</f>
        <v>0</v>
      </c>
      <c r="AG165" s="35">
        <f>IF(AQ165="2",BI165,0)</f>
        <v>0</v>
      </c>
      <c r="AH165" s="35">
        <f>IF(AQ165="0",BJ165,0)</f>
        <v>0</v>
      </c>
      <c r="AI165" s="12" t="s">
        <v>350</v>
      </c>
      <c r="AJ165" s="35">
        <f>IF(AN165=0,L165,0)</f>
        <v>0</v>
      </c>
      <c r="AK165" s="35">
        <f>IF(AN165=12,L165,0)</f>
        <v>0</v>
      </c>
      <c r="AL165" s="35">
        <f>IF(AN165=21,L165,0)</f>
        <v>0</v>
      </c>
      <c r="AN165" s="35">
        <v>21</v>
      </c>
      <c r="AO165" s="35">
        <f>H165*0</f>
        <v>0</v>
      </c>
      <c r="AP165" s="35">
        <f>H165*(1-0)</f>
        <v>0</v>
      </c>
      <c r="AQ165" s="36" t="s">
        <v>70</v>
      </c>
      <c r="AV165" s="35">
        <f>AW165+AX165</f>
        <v>0</v>
      </c>
      <c r="AW165" s="35">
        <f>G165*AO165</f>
        <v>0</v>
      </c>
      <c r="AX165" s="35">
        <f>G165*AP165</f>
        <v>0</v>
      </c>
      <c r="AY165" s="36" t="s">
        <v>371</v>
      </c>
      <c r="AZ165" s="36" t="s">
        <v>358</v>
      </c>
      <c r="BA165" s="12" t="s">
        <v>359</v>
      </c>
      <c r="BC165" s="35">
        <f>AW165+AX165</f>
        <v>0</v>
      </c>
      <c r="BD165" s="35">
        <f>H165/(100-BE165)*100</f>
        <v>0</v>
      </c>
      <c r="BE165" s="35">
        <v>0</v>
      </c>
      <c r="BF165" s="35">
        <f>O165</f>
        <v>0</v>
      </c>
      <c r="BH165" s="35">
        <f>G165*AO165</f>
        <v>0</v>
      </c>
      <c r="BI165" s="35">
        <f>G165*AP165</f>
        <v>0</v>
      </c>
      <c r="BJ165" s="35">
        <f>G165*H165</f>
        <v>0</v>
      </c>
      <c r="BK165" s="35"/>
      <c r="BL165" s="35"/>
      <c r="BW165" s="35" t="str">
        <f>I165</f>
        <v>21</v>
      </c>
      <c r="BX165" s="4" t="s">
        <v>374</v>
      </c>
    </row>
    <row r="166" spans="1:76" ht="14.6" x14ac:dyDescent="0.4">
      <c r="A166" s="2" t="s">
        <v>375</v>
      </c>
      <c r="B166" s="3" t="s">
        <v>350</v>
      </c>
      <c r="C166" s="3" t="s">
        <v>376</v>
      </c>
      <c r="D166" s="83" t="s">
        <v>377</v>
      </c>
      <c r="E166" s="84"/>
      <c r="F166" s="3" t="s">
        <v>228</v>
      </c>
      <c r="G166" s="35">
        <v>6</v>
      </c>
      <c r="H166" s="82"/>
      <c r="I166" s="36" t="s">
        <v>65</v>
      </c>
      <c r="J166" s="35">
        <f>G166*AO166</f>
        <v>0</v>
      </c>
      <c r="K166" s="35">
        <f>G166*AP166</f>
        <v>0</v>
      </c>
      <c r="L166" s="35">
        <f>G166*H166</f>
        <v>0</v>
      </c>
      <c r="M166" s="35">
        <f>L166*(1+BW166/100)</f>
        <v>0</v>
      </c>
      <c r="N166" s="35">
        <v>0</v>
      </c>
      <c r="O166" s="35">
        <f>G166*N166</f>
        <v>0</v>
      </c>
      <c r="P166" s="37" t="s">
        <v>66</v>
      </c>
      <c r="Z166" s="35">
        <f>IF(AQ166="5",BJ166,0)</f>
        <v>0</v>
      </c>
      <c r="AB166" s="35">
        <f>IF(AQ166="1",BH166,0)</f>
        <v>0</v>
      </c>
      <c r="AC166" s="35">
        <f>IF(AQ166="1",BI166,0)</f>
        <v>0</v>
      </c>
      <c r="AD166" s="35">
        <f>IF(AQ166="7",BH166,0)</f>
        <v>0</v>
      </c>
      <c r="AE166" s="35">
        <f>IF(AQ166="7",BI166,0)</f>
        <v>0</v>
      </c>
      <c r="AF166" s="35">
        <f>IF(AQ166="2",BH166,0)</f>
        <v>0</v>
      </c>
      <c r="AG166" s="35">
        <f>IF(AQ166="2",BI166,0)</f>
        <v>0</v>
      </c>
      <c r="AH166" s="35">
        <f>IF(AQ166="0",BJ166,0)</f>
        <v>0</v>
      </c>
      <c r="AI166" s="12" t="s">
        <v>350</v>
      </c>
      <c r="AJ166" s="35">
        <f>IF(AN166=0,L166,0)</f>
        <v>0</v>
      </c>
      <c r="AK166" s="35">
        <f>IF(AN166=12,L166,0)</f>
        <v>0</v>
      </c>
      <c r="AL166" s="35">
        <f>IF(AN166=21,L166,0)</f>
        <v>0</v>
      </c>
      <c r="AN166" s="35">
        <v>21</v>
      </c>
      <c r="AO166" s="35">
        <f>H166*0</f>
        <v>0</v>
      </c>
      <c r="AP166" s="35">
        <f>H166*(1-0)</f>
        <v>0</v>
      </c>
      <c r="AQ166" s="36" t="s">
        <v>70</v>
      </c>
      <c r="AV166" s="35">
        <f>AW166+AX166</f>
        <v>0</v>
      </c>
      <c r="AW166" s="35">
        <f>G166*AO166</f>
        <v>0</v>
      </c>
      <c r="AX166" s="35">
        <f>G166*AP166</f>
        <v>0</v>
      </c>
      <c r="AY166" s="36" t="s">
        <v>371</v>
      </c>
      <c r="AZ166" s="36" t="s">
        <v>358</v>
      </c>
      <c r="BA166" s="12" t="s">
        <v>359</v>
      </c>
      <c r="BC166" s="35">
        <f>AW166+AX166</f>
        <v>0</v>
      </c>
      <c r="BD166" s="35">
        <f>H166/(100-BE166)*100</f>
        <v>0</v>
      </c>
      <c r="BE166" s="35">
        <v>0</v>
      </c>
      <c r="BF166" s="35">
        <f>O166</f>
        <v>0</v>
      </c>
      <c r="BH166" s="35">
        <f>G166*AO166</f>
        <v>0</v>
      </c>
      <c r="BI166" s="35">
        <f>G166*AP166</f>
        <v>0</v>
      </c>
      <c r="BJ166" s="35">
        <f>G166*H166</f>
        <v>0</v>
      </c>
      <c r="BK166" s="35"/>
      <c r="BL166" s="35"/>
      <c r="BW166" s="35" t="str">
        <f>I166</f>
        <v>21</v>
      </c>
      <c r="BX166" s="4" t="s">
        <v>377</v>
      </c>
    </row>
    <row r="167" spans="1:76" ht="13.5" customHeight="1" x14ac:dyDescent="0.4">
      <c r="A167" s="38"/>
      <c r="C167" s="39" t="s">
        <v>73</v>
      </c>
      <c r="D167" s="94" t="s">
        <v>378</v>
      </c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6"/>
    </row>
    <row r="168" spans="1:76" ht="14.6" x14ac:dyDescent="0.4">
      <c r="A168" s="2" t="s">
        <v>379</v>
      </c>
      <c r="B168" s="3" t="s">
        <v>350</v>
      </c>
      <c r="C168" s="3" t="s">
        <v>380</v>
      </c>
      <c r="D168" s="83" t="s">
        <v>381</v>
      </c>
      <c r="E168" s="84"/>
      <c r="F168" s="3" t="s">
        <v>228</v>
      </c>
      <c r="G168" s="35">
        <v>6</v>
      </c>
      <c r="H168" s="82"/>
      <c r="I168" s="36" t="s">
        <v>65</v>
      </c>
      <c r="J168" s="35">
        <v>0</v>
      </c>
      <c r="K168" s="35">
        <f>H168*G168</f>
        <v>0</v>
      </c>
      <c r="L168" s="35">
        <f>G168*H168</f>
        <v>0</v>
      </c>
      <c r="M168" s="35">
        <f>L168*(1+BW168/100)</f>
        <v>0</v>
      </c>
      <c r="N168" s="35">
        <v>0</v>
      </c>
      <c r="O168" s="35">
        <f>G168*N168</f>
        <v>0</v>
      </c>
      <c r="P168" s="37" t="s">
        <v>66</v>
      </c>
      <c r="Z168" s="35">
        <f>IF(AQ168="5",BJ168,0)</f>
        <v>0</v>
      </c>
      <c r="AB168" s="35">
        <f>IF(AQ168="1",BH168,0)</f>
        <v>0</v>
      </c>
      <c r="AC168" s="35">
        <f>IF(AQ168="1",BI168,0)</f>
        <v>0</v>
      </c>
      <c r="AD168" s="35">
        <f>IF(AQ168="7",BH168,0)</f>
        <v>0</v>
      </c>
      <c r="AE168" s="35">
        <f>IF(AQ168="7",BI168,0)</f>
        <v>0</v>
      </c>
      <c r="AF168" s="35">
        <f>IF(AQ168="2",BH168,0)</f>
        <v>0</v>
      </c>
      <c r="AG168" s="35">
        <f>IF(AQ168="2",BI168,0)</f>
        <v>0</v>
      </c>
      <c r="AH168" s="35">
        <f>IF(AQ168="0",BJ168,0)</f>
        <v>0</v>
      </c>
      <c r="AI168" s="12" t="s">
        <v>350</v>
      </c>
      <c r="AJ168" s="35">
        <f>IF(AN168=0,L168,0)</f>
        <v>0</v>
      </c>
      <c r="AK168" s="35">
        <f>IF(AN168=12,L168,0)</f>
        <v>0</v>
      </c>
      <c r="AL168" s="35">
        <f>IF(AN168=21,L168,0)</f>
        <v>0</v>
      </c>
      <c r="AN168" s="35">
        <v>21</v>
      </c>
      <c r="AO168" s="35">
        <f>H168*0.860786397</f>
        <v>0</v>
      </c>
      <c r="AP168" s="35">
        <f>H168*(1-0.860786397)</f>
        <v>0</v>
      </c>
      <c r="AQ168" s="36" t="s">
        <v>70</v>
      </c>
      <c r="AV168" s="35">
        <f>AW168+AX168</f>
        <v>0</v>
      </c>
      <c r="AW168" s="35">
        <f>G168*AO168</f>
        <v>0</v>
      </c>
      <c r="AX168" s="35">
        <f>G168*AP168</f>
        <v>0</v>
      </c>
      <c r="AY168" s="36" t="s">
        <v>371</v>
      </c>
      <c r="AZ168" s="36" t="s">
        <v>358</v>
      </c>
      <c r="BA168" s="12" t="s">
        <v>359</v>
      </c>
      <c r="BC168" s="35">
        <f>AW168+AX168</f>
        <v>0</v>
      </c>
      <c r="BD168" s="35">
        <f>H168/(100-BE168)*100</f>
        <v>0</v>
      </c>
      <c r="BE168" s="35">
        <v>0</v>
      </c>
      <c r="BF168" s="35">
        <f>O168</f>
        <v>0</v>
      </c>
      <c r="BH168" s="35">
        <f>G168*AO168</f>
        <v>0</v>
      </c>
      <c r="BI168" s="35">
        <f>G168*AP168</f>
        <v>0</v>
      </c>
      <c r="BJ168" s="35">
        <f>G168*H168</f>
        <v>0</v>
      </c>
      <c r="BK168" s="35"/>
      <c r="BL168" s="35"/>
      <c r="BW168" s="35" t="str">
        <f>I168</f>
        <v>21</v>
      </c>
      <c r="BX168" s="4" t="s">
        <v>381</v>
      </c>
    </row>
    <row r="169" spans="1:76" ht="14.6" x14ac:dyDescent="0.4">
      <c r="A169" s="38"/>
      <c r="D169" s="40" t="s">
        <v>382</v>
      </c>
      <c r="E169" s="41" t="s">
        <v>56</v>
      </c>
      <c r="G169" s="42">
        <v>6</v>
      </c>
      <c r="P169" s="43"/>
    </row>
    <row r="170" spans="1:76" ht="27" customHeight="1" x14ac:dyDescent="0.4">
      <c r="A170" s="38"/>
      <c r="C170" s="44" t="s">
        <v>165</v>
      </c>
      <c r="D170" s="89" t="s">
        <v>644</v>
      </c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1"/>
    </row>
    <row r="171" spans="1:76" ht="14.6" x14ac:dyDescent="0.4">
      <c r="A171" s="2" t="s">
        <v>383</v>
      </c>
      <c r="B171" s="3" t="s">
        <v>350</v>
      </c>
      <c r="C171" s="3" t="s">
        <v>384</v>
      </c>
      <c r="D171" s="83" t="s">
        <v>385</v>
      </c>
      <c r="E171" s="84"/>
      <c r="F171" s="3" t="s">
        <v>228</v>
      </c>
      <c r="G171" s="35">
        <v>6</v>
      </c>
      <c r="H171" s="82"/>
      <c r="I171" s="36" t="s">
        <v>65</v>
      </c>
      <c r="J171" s="35">
        <v>0</v>
      </c>
      <c r="K171" s="35">
        <f>G171*H171</f>
        <v>0</v>
      </c>
      <c r="L171" s="35">
        <f>G171*H171</f>
        <v>0</v>
      </c>
      <c r="M171" s="35">
        <f>L171*(1+BW171/100)</f>
        <v>0</v>
      </c>
      <c r="N171" s="35">
        <v>2.545E-2</v>
      </c>
      <c r="O171" s="35">
        <f>G171*N171</f>
        <v>0.1527</v>
      </c>
      <c r="P171" s="37" t="s">
        <v>66</v>
      </c>
      <c r="Z171" s="35">
        <f>IF(AQ171="5",BJ171,0)</f>
        <v>0</v>
      </c>
      <c r="AB171" s="35">
        <f>IF(AQ171="1",BH171,0)</f>
        <v>0</v>
      </c>
      <c r="AC171" s="35">
        <f>IF(AQ171="1",BI171,0)</f>
        <v>0</v>
      </c>
      <c r="AD171" s="35">
        <f>IF(AQ171="7",BH171,0)</f>
        <v>0</v>
      </c>
      <c r="AE171" s="35">
        <f>IF(AQ171="7",BI171,0)</f>
        <v>0</v>
      </c>
      <c r="AF171" s="35">
        <f>IF(AQ171="2",BH171,0)</f>
        <v>0</v>
      </c>
      <c r="AG171" s="35">
        <f>IF(AQ171="2",BI171,0)</f>
        <v>0</v>
      </c>
      <c r="AH171" s="35">
        <f>IF(AQ171="0",BJ171,0)</f>
        <v>0</v>
      </c>
      <c r="AI171" s="12" t="s">
        <v>350</v>
      </c>
      <c r="AJ171" s="35">
        <f>IF(AN171=0,L171,0)</f>
        <v>0</v>
      </c>
      <c r="AK171" s="35">
        <f>IF(AN171=12,L171,0)</f>
        <v>0</v>
      </c>
      <c r="AL171" s="35">
        <f>IF(AN171=21,L171,0)</f>
        <v>0</v>
      </c>
      <c r="AN171" s="35">
        <v>21</v>
      </c>
      <c r="AO171" s="35">
        <f>H171*0.877566724</f>
        <v>0</v>
      </c>
      <c r="AP171" s="35">
        <f>H171*(1-0.877566724)</f>
        <v>0</v>
      </c>
      <c r="AQ171" s="36" t="s">
        <v>70</v>
      </c>
      <c r="AV171" s="35">
        <f>AW171+AX171</f>
        <v>0</v>
      </c>
      <c r="AW171" s="35">
        <f>G171*AO171</f>
        <v>0</v>
      </c>
      <c r="AX171" s="35">
        <f>G171*AP171</f>
        <v>0</v>
      </c>
      <c r="AY171" s="36" t="s">
        <v>371</v>
      </c>
      <c r="AZ171" s="36" t="s">
        <v>358</v>
      </c>
      <c r="BA171" s="12" t="s">
        <v>359</v>
      </c>
      <c r="BC171" s="35">
        <f>AW171+AX171</f>
        <v>0</v>
      </c>
      <c r="BD171" s="35">
        <f>H171/(100-BE171)*100</f>
        <v>0</v>
      </c>
      <c r="BE171" s="35">
        <v>0</v>
      </c>
      <c r="BF171" s="35">
        <f>O171</f>
        <v>0.1527</v>
      </c>
      <c r="BH171" s="35">
        <f>G171*AO171</f>
        <v>0</v>
      </c>
      <c r="BI171" s="35">
        <f>G171*AP171</f>
        <v>0</v>
      </c>
      <c r="BJ171" s="35">
        <f>G171*H171</f>
        <v>0</v>
      </c>
      <c r="BK171" s="35"/>
      <c r="BL171" s="35"/>
      <c r="BW171" s="35" t="str">
        <f>I171</f>
        <v>21</v>
      </c>
      <c r="BX171" s="4" t="s">
        <v>385</v>
      </c>
    </row>
    <row r="172" spans="1:76" ht="13.5" customHeight="1" x14ac:dyDescent="0.4">
      <c r="A172" s="38"/>
      <c r="C172" s="39" t="s">
        <v>73</v>
      </c>
      <c r="D172" s="94" t="s">
        <v>645</v>
      </c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6"/>
    </row>
    <row r="173" spans="1:76" ht="27" customHeight="1" x14ac:dyDescent="0.4">
      <c r="A173" s="38"/>
      <c r="C173" s="44" t="s">
        <v>165</v>
      </c>
      <c r="D173" s="89" t="s">
        <v>386</v>
      </c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1"/>
    </row>
    <row r="174" spans="1:76" ht="14.6" x14ac:dyDescent="0.4">
      <c r="A174" s="2" t="s">
        <v>387</v>
      </c>
      <c r="B174" s="3" t="s">
        <v>350</v>
      </c>
      <c r="C174" s="3" t="s">
        <v>388</v>
      </c>
      <c r="D174" s="83" t="s">
        <v>389</v>
      </c>
      <c r="E174" s="84"/>
      <c r="F174" s="3" t="s">
        <v>228</v>
      </c>
      <c r="G174" s="35">
        <v>6</v>
      </c>
      <c r="H174" s="82"/>
      <c r="I174" s="36" t="s">
        <v>65</v>
      </c>
      <c r="J174" s="35">
        <f>G174*AO174</f>
        <v>0</v>
      </c>
      <c r="K174" s="35">
        <f>G174*AP174</f>
        <v>0</v>
      </c>
      <c r="L174" s="35">
        <f>G174*H174</f>
        <v>0</v>
      </c>
      <c r="M174" s="35">
        <f>L174*(1+BW174/100)</f>
        <v>0</v>
      </c>
      <c r="N174" s="35">
        <v>0</v>
      </c>
      <c r="O174" s="35">
        <f>G174*N174</f>
        <v>0</v>
      </c>
      <c r="P174" s="37" t="s">
        <v>66</v>
      </c>
      <c r="Z174" s="35">
        <f>IF(AQ174="5",BJ174,0)</f>
        <v>0</v>
      </c>
      <c r="AB174" s="35">
        <f>IF(AQ174="1",BH174,0)</f>
        <v>0</v>
      </c>
      <c r="AC174" s="35">
        <f>IF(AQ174="1",BI174,0)</f>
        <v>0</v>
      </c>
      <c r="AD174" s="35">
        <f>IF(AQ174="7",BH174,0)</f>
        <v>0</v>
      </c>
      <c r="AE174" s="35">
        <f>IF(AQ174="7",BI174,0)</f>
        <v>0</v>
      </c>
      <c r="AF174" s="35">
        <f>IF(AQ174="2",BH174,0)</f>
        <v>0</v>
      </c>
      <c r="AG174" s="35">
        <f>IF(AQ174="2",BI174,0)</f>
        <v>0</v>
      </c>
      <c r="AH174" s="35">
        <f>IF(AQ174="0",BJ174,0)</f>
        <v>0</v>
      </c>
      <c r="AI174" s="12" t="s">
        <v>350</v>
      </c>
      <c r="AJ174" s="35">
        <f>IF(AN174=0,L174,0)</f>
        <v>0</v>
      </c>
      <c r="AK174" s="35">
        <f>IF(AN174=12,L174,0)</f>
        <v>0</v>
      </c>
      <c r="AL174" s="35">
        <f>IF(AN174=21,L174,0)</f>
        <v>0</v>
      </c>
      <c r="AN174" s="35">
        <v>21</v>
      </c>
      <c r="AO174" s="35">
        <f>H174*0</f>
        <v>0</v>
      </c>
      <c r="AP174" s="35">
        <f>H174*(1-0)</f>
        <v>0</v>
      </c>
      <c r="AQ174" s="36" t="s">
        <v>70</v>
      </c>
      <c r="AV174" s="35">
        <f>AW174+AX174</f>
        <v>0</v>
      </c>
      <c r="AW174" s="35">
        <f>G174*AO174</f>
        <v>0</v>
      </c>
      <c r="AX174" s="35">
        <f>G174*AP174</f>
        <v>0</v>
      </c>
      <c r="AY174" s="36" t="s">
        <v>371</v>
      </c>
      <c r="AZ174" s="36" t="s">
        <v>358</v>
      </c>
      <c r="BA174" s="12" t="s">
        <v>359</v>
      </c>
      <c r="BC174" s="35">
        <f>AW174+AX174</f>
        <v>0</v>
      </c>
      <c r="BD174" s="35">
        <f>H174/(100-BE174)*100</f>
        <v>0</v>
      </c>
      <c r="BE174" s="35">
        <v>0</v>
      </c>
      <c r="BF174" s="35">
        <f>O174</f>
        <v>0</v>
      </c>
      <c r="BH174" s="35">
        <f>G174*AO174</f>
        <v>0</v>
      </c>
      <c r="BI174" s="35">
        <f>G174*AP174</f>
        <v>0</v>
      </c>
      <c r="BJ174" s="35">
        <f>G174*H174</f>
        <v>0</v>
      </c>
      <c r="BK174" s="35"/>
      <c r="BL174" s="35"/>
      <c r="BW174" s="35" t="str">
        <f>I174</f>
        <v>21</v>
      </c>
      <c r="BX174" s="4" t="s">
        <v>389</v>
      </c>
    </row>
    <row r="175" spans="1:76" ht="14.6" x14ac:dyDescent="0.4">
      <c r="A175" s="2" t="s">
        <v>390</v>
      </c>
      <c r="B175" s="3" t="s">
        <v>350</v>
      </c>
      <c r="C175" s="3" t="s">
        <v>391</v>
      </c>
      <c r="D175" s="83" t="s">
        <v>392</v>
      </c>
      <c r="E175" s="84"/>
      <c r="F175" s="3" t="s">
        <v>94</v>
      </c>
      <c r="G175" s="35">
        <v>6</v>
      </c>
      <c r="H175" s="82"/>
      <c r="I175" s="36" t="s">
        <v>65</v>
      </c>
      <c r="J175" s="35">
        <f>G175*AO175</f>
        <v>0</v>
      </c>
      <c r="K175" s="35">
        <f>G175*AP175</f>
        <v>0</v>
      </c>
      <c r="L175" s="35">
        <f>G175*H175</f>
        <v>0</v>
      </c>
      <c r="M175" s="35">
        <f>L175*(1+BW175/100)</f>
        <v>0</v>
      </c>
      <c r="N175" s="35">
        <v>6.0000000000000002E-5</v>
      </c>
      <c r="O175" s="35">
        <f>G175*N175</f>
        <v>3.6000000000000002E-4</v>
      </c>
      <c r="P175" s="37" t="s">
        <v>66</v>
      </c>
      <c r="Z175" s="35">
        <f>IF(AQ175="5",BJ175,0)</f>
        <v>0</v>
      </c>
      <c r="AB175" s="35">
        <f>IF(AQ175="1",BH175,0)</f>
        <v>0</v>
      </c>
      <c r="AC175" s="35">
        <f>IF(AQ175="1",BI175,0)</f>
        <v>0</v>
      </c>
      <c r="AD175" s="35">
        <f>IF(AQ175="7",BH175,0)</f>
        <v>0</v>
      </c>
      <c r="AE175" s="35">
        <f>IF(AQ175="7",BI175,0)</f>
        <v>0</v>
      </c>
      <c r="AF175" s="35">
        <f>IF(AQ175="2",BH175,0)</f>
        <v>0</v>
      </c>
      <c r="AG175" s="35">
        <f>IF(AQ175="2",BI175,0)</f>
        <v>0</v>
      </c>
      <c r="AH175" s="35">
        <f>IF(AQ175="0",BJ175,0)</f>
        <v>0</v>
      </c>
      <c r="AI175" s="12" t="s">
        <v>350</v>
      </c>
      <c r="AJ175" s="35">
        <f>IF(AN175=0,L175,0)</f>
        <v>0</v>
      </c>
      <c r="AK175" s="35">
        <f>IF(AN175=12,L175,0)</f>
        <v>0</v>
      </c>
      <c r="AL175" s="35">
        <f>IF(AN175=21,L175,0)</f>
        <v>0</v>
      </c>
      <c r="AN175" s="35">
        <v>21</v>
      </c>
      <c r="AO175" s="35">
        <f>H175*0.44697286</f>
        <v>0</v>
      </c>
      <c r="AP175" s="35">
        <f>H175*(1-0.44697286)</f>
        <v>0</v>
      </c>
      <c r="AQ175" s="36" t="s">
        <v>70</v>
      </c>
      <c r="AV175" s="35">
        <f>AW175+AX175</f>
        <v>0</v>
      </c>
      <c r="AW175" s="35">
        <f>G175*AO175</f>
        <v>0</v>
      </c>
      <c r="AX175" s="35">
        <f>G175*AP175</f>
        <v>0</v>
      </c>
      <c r="AY175" s="36" t="s">
        <v>371</v>
      </c>
      <c r="AZ175" s="36" t="s">
        <v>358</v>
      </c>
      <c r="BA175" s="12" t="s">
        <v>359</v>
      </c>
      <c r="BC175" s="35">
        <f>AW175+AX175</f>
        <v>0</v>
      </c>
      <c r="BD175" s="35">
        <f>H175/(100-BE175)*100</f>
        <v>0</v>
      </c>
      <c r="BE175" s="35">
        <v>0</v>
      </c>
      <c r="BF175" s="35">
        <f>O175</f>
        <v>3.6000000000000002E-4</v>
      </c>
      <c r="BH175" s="35">
        <f>G175*AO175</f>
        <v>0</v>
      </c>
      <c r="BI175" s="35">
        <f>G175*AP175</f>
        <v>0</v>
      </c>
      <c r="BJ175" s="35">
        <f>G175*H175</f>
        <v>0</v>
      </c>
      <c r="BK175" s="35"/>
      <c r="BL175" s="35"/>
      <c r="BW175" s="35" t="str">
        <f>I175</f>
        <v>21</v>
      </c>
      <c r="BX175" s="4" t="s">
        <v>392</v>
      </c>
    </row>
    <row r="176" spans="1:76" ht="13.5" customHeight="1" x14ac:dyDescent="0.4">
      <c r="A176" s="38"/>
      <c r="C176" s="39" t="s">
        <v>73</v>
      </c>
      <c r="D176" s="94" t="s">
        <v>393</v>
      </c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6"/>
    </row>
    <row r="177" spans="1:76" ht="14.6" x14ac:dyDescent="0.4">
      <c r="A177" s="2" t="s">
        <v>394</v>
      </c>
      <c r="B177" s="3" t="s">
        <v>350</v>
      </c>
      <c r="C177" s="3" t="s">
        <v>395</v>
      </c>
      <c r="D177" s="83" t="s">
        <v>396</v>
      </c>
      <c r="E177" s="84"/>
      <c r="F177" s="3" t="s">
        <v>94</v>
      </c>
      <c r="G177" s="35">
        <v>30</v>
      </c>
      <c r="H177" s="82"/>
      <c r="I177" s="36" t="s">
        <v>65</v>
      </c>
      <c r="J177" s="35">
        <f>G177*AO177</f>
        <v>0</v>
      </c>
      <c r="K177" s="35">
        <f>G177*AP177</f>
        <v>0</v>
      </c>
      <c r="L177" s="35">
        <f>G177*H177</f>
        <v>0</v>
      </c>
      <c r="M177" s="35">
        <f>L177*(1+BW177/100)</f>
        <v>0</v>
      </c>
      <c r="N177" s="35">
        <v>2.2000000000000001E-4</v>
      </c>
      <c r="O177" s="35">
        <f>G177*N177</f>
        <v>6.6E-3</v>
      </c>
      <c r="P177" s="37" t="s">
        <v>66</v>
      </c>
      <c r="Z177" s="35">
        <f>IF(AQ177="5",BJ177,0)</f>
        <v>0</v>
      </c>
      <c r="AB177" s="35">
        <f>IF(AQ177="1",BH177,0)</f>
        <v>0</v>
      </c>
      <c r="AC177" s="35">
        <f>IF(AQ177="1",BI177,0)</f>
        <v>0</v>
      </c>
      <c r="AD177" s="35">
        <f>IF(AQ177="7",BH177,0)</f>
        <v>0</v>
      </c>
      <c r="AE177" s="35">
        <f>IF(AQ177="7",BI177,0)</f>
        <v>0</v>
      </c>
      <c r="AF177" s="35">
        <f>IF(AQ177="2",BH177,0)</f>
        <v>0</v>
      </c>
      <c r="AG177" s="35">
        <f>IF(AQ177="2",BI177,0)</f>
        <v>0</v>
      </c>
      <c r="AH177" s="35">
        <f>IF(AQ177="0",BJ177,0)</f>
        <v>0</v>
      </c>
      <c r="AI177" s="12" t="s">
        <v>350</v>
      </c>
      <c r="AJ177" s="35">
        <f>IF(AN177=0,L177,0)</f>
        <v>0</v>
      </c>
      <c r="AK177" s="35">
        <f>IF(AN177=12,L177,0)</f>
        <v>0</v>
      </c>
      <c r="AL177" s="35">
        <f>IF(AN177=21,L177,0)</f>
        <v>0</v>
      </c>
      <c r="AN177" s="35">
        <v>21</v>
      </c>
      <c r="AO177" s="35">
        <f>H177*0.46335175</f>
        <v>0</v>
      </c>
      <c r="AP177" s="35">
        <f>H177*(1-0.46335175)</f>
        <v>0</v>
      </c>
      <c r="AQ177" s="36" t="s">
        <v>70</v>
      </c>
      <c r="AV177" s="35">
        <f>AW177+AX177</f>
        <v>0</v>
      </c>
      <c r="AW177" s="35">
        <f>G177*AO177</f>
        <v>0</v>
      </c>
      <c r="AX177" s="35">
        <f>G177*AP177</f>
        <v>0</v>
      </c>
      <c r="AY177" s="36" t="s">
        <v>371</v>
      </c>
      <c r="AZ177" s="36" t="s">
        <v>358</v>
      </c>
      <c r="BA177" s="12" t="s">
        <v>359</v>
      </c>
      <c r="BC177" s="35">
        <f>AW177+AX177</f>
        <v>0</v>
      </c>
      <c r="BD177" s="35">
        <f>H177/(100-BE177)*100</f>
        <v>0</v>
      </c>
      <c r="BE177" s="35">
        <v>0</v>
      </c>
      <c r="BF177" s="35">
        <f>O177</f>
        <v>6.6E-3</v>
      </c>
      <c r="BH177" s="35">
        <f>G177*AO177</f>
        <v>0</v>
      </c>
      <c r="BI177" s="35">
        <f>G177*AP177</f>
        <v>0</v>
      </c>
      <c r="BJ177" s="35">
        <f>G177*H177</f>
        <v>0</v>
      </c>
      <c r="BK177" s="35"/>
      <c r="BL177" s="35"/>
      <c r="BW177" s="35" t="str">
        <f>I177</f>
        <v>21</v>
      </c>
      <c r="BX177" s="4" t="s">
        <v>396</v>
      </c>
    </row>
    <row r="178" spans="1:76" ht="13.5" customHeight="1" x14ac:dyDescent="0.4">
      <c r="A178" s="38"/>
      <c r="C178" s="39" t="s">
        <v>73</v>
      </c>
      <c r="D178" s="94" t="s">
        <v>397</v>
      </c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6"/>
    </row>
    <row r="179" spans="1:76" ht="14.6" x14ac:dyDescent="0.4">
      <c r="A179" s="38"/>
      <c r="D179" s="40" t="s">
        <v>398</v>
      </c>
      <c r="E179" s="41" t="s">
        <v>56</v>
      </c>
      <c r="G179" s="42">
        <v>30</v>
      </c>
      <c r="P179" s="43"/>
    </row>
    <row r="180" spans="1:76" ht="14.6" x14ac:dyDescent="0.4">
      <c r="A180" s="2" t="s">
        <v>399</v>
      </c>
      <c r="B180" s="3" t="s">
        <v>350</v>
      </c>
      <c r="C180" s="3" t="s">
        <v>400</v>
      </c>
      <c r="D180" s="83" t="s">
        <v>401</v>
      </c>
      <c r="E180" s="84"/>
      <c r="F180" s="3" t="s">
        <v>94</v>
      </c>
      <c r="G180" s="35">
        <v>190.05</v>
      </c>
      <c r="H180" s="82"/>
      <c r="I180" s="36" t="s">
        <v>65</v>
      </c>
      <c r="J180" s="35">
        <v>0</v>
      </c>
      <c r="K180" s="35">
        <f>G180*H180</f>
        <v>0</v>
      </c>
      <c r="L180" s="35">
        <f>G180*H180</f>
        <v>0</v>
      </c>
      <c r="M180" s="35">
        <f>L180*(1+BW180/100)</f>
        <v>0</v>
      </c>
      <c r="N180" s="35">
        <v>8.0000000000000004E-4</v>
      </c>
      <c r="O180" s="35">
        <f>G180*N180</f>
        <v>0.15204000000000001</v>
      </c>
      <c r="P180" s="37" t="s">
        <v>66</v>
      </c>
      <c r="Z180" s="35">
        <f>IF(AQ180="5",BJ180,0)</f>
        <v>0</v>
      </c>
      <c r="AB180" s="35">
        <f>IF(AQ180="1",BH180,0)</f>
        <v>0</v>
      </c>
      <c r="AC180" s="35">
        <f>IF(AQ180="1",BI180,0)</f>
        <v>0</v>
      </c>
      <c r="AD180" s="35">
        <f>IF(AQ180="7",BH180,0)</f>
        <v>0</v>
      </c>
      <c r="AE180" s="35">
        <f>IF(AQ180="7",BI180,0)</f>
        <v>0</v>
      </c>
      <c r="AF180" s="35">
        <f>IF(AQ180="2",BH180,0)</f>
        <v>0</v>
      </c>
      <c r="AG180" s="35">
        <f>IF(AQ180="2",BI180,0)</f>
        <v>0</v>
      </c>
      <c r="AH180" s="35">
        <f>IF(AQ180="0",BJ180,0)</f>
        <v>0</v>
      </c>
      <c r="AI180" s="12" t="s">
        <v>350</v>
      </c>
      <c r="AJ180" s="35">
        <f>IF(AN180=0,L180,0)</f>
        <v>0</v>
      </c>
      <c r="AK180" s="35">
        <f>IF(AN180=12,L180,0)</f>
        <v>0</v>
      </c>
      <c r="AL180" s="35">
        <f>IF(AN180=21,L180,0)</f>
        <v>0</v>
      </c>
      <c r="AN180" s="35">
        <v>21</v>
      </c>
      <c r="AO180" s="35">
        <f>H180*0.8275173</f>
        <v>0</v>
      </c>
      <c r="AP180" s="35">
        <f>H180*(1-0.8275173)</f>
        <v>0</v>
      </c>
      <c r="AQ180" s="36" t="s">
        <v>70</v>
      </c>
      <c r="AV180" s="35">
        <f>AW180+AX180</f>
        <v>0</v>
      </c>
      <c r="AW180" s="35">
        <f>G180*AO180</f>
        <v>0</v>
      </c>
      <c r="AX180" s="35">
        <f>G180*AP180</f>
        <v>0</v>
      </c>
      <c r="AY180" s="36" t="s">
        <v>371</v>
      </c>
      <c r="AZ180" s="36" t="s">
        <v>358</v>
      </c>
      <c r="BA180" s="12" t="s">
        <v>359</v>
      </c>
      <c r="BC180" s="35">
        <f>AW180+AX180</f>
        <v>0</v>
      </c>
      <c r="BD180" s="35">
        <f>H180/(100-BE180)*100</f>
        <v>0</v>
      </c>
      <c r="BE180" s="35">
        <v>0</v>
      </c>
      <c r="BF180" s="35">
        <f>O180</f>
        <v>0.15204000000000001</v>
      </c>
      <c r="BH180" s="35">
        <f>G180*AO180</f>
        <v>0</v>
      </c>
      <c r="BI180" s="35">
        <f>G180*AP180</f>
        <v>0</v>
      </c>
      <c r="BJ180" s="35">
        <f>G180*H180</f>
        <v>0</v>
      </c>
      <c r="BK180" s="35"/>
      <c r="BL180" s="35"/>
      <c r="BW180" s="35" t="str">
        <f>I180</f>
        <v>21</v>
      </c>
      <c r="BX180" s="4" t="s">
        <v>401</v>
      </c>
    </row>
    <row r="181" spans="1:76" ht="13.5" customHeight="1" x14ac:dyDescent="0.4">
      <c r="A181" s="38"/>
      <c r="C181" s="39" t="s">
        <v>73</v>
      </c>
      <c r="D181" s="94" t="s">
        <v>646</v>
      </c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6"/>
    </row>
    <row r="182" spans="1:76" ht="14.6" x14ac:dyDescent="0.4">
      <c r="A182" s="38"/>
      <c r="D182" s="40" t="s">
        <v>402</v>
      </c>
      <c r="E182" s="41" t="s">
        <v>56</v>
      </c>
      <c r="G182" s="42">
        <v>190.05</v>
      </c>
      <c r="P182" s="43"/>
    </row>
    <row r="183" spans="1:76" ht="14.6" x14ac:dyDescent="0.4">
      <c r="A183" s="31" t="s">
        <v>56</v>
      </c>
      <c r="B183" s="32" t="s">
        <v>350</v>
      </c>
      <c r="C183" s="32" t="s">
        <v>403</v>
      </c>
      <c r="D183" s="92" t="s">
        <v>404</v>
      </c>
      <c r="E183" s="93"/>
      <c r="F183" s="33" t="s">
        <v>4</v>
      </c>
      <c r="G183" s="33" t="s">
        <v>4</v>
      </c>
      <c r="H183" s="33" t="s">
        <v>4</v>
      </c>
      <c r="I183" s="33" t="s">
        <v>4</v>
      </c>
      <c r="J183" s="1">
        <f>SUM(J184:J184)</f>
        <v>0</v>
      </c>
      <c r="K183" s="1">
        <f>SUM(K184:K184)</f>
        <v>0</v>
      </c>
      <c r="L183" s="1">
        <f>SUM(L184:L184)</f>
        <v>0</v>
      </c>
      <c r="M183" s="1">
        <f>SUM(M184:M184)</f>
        <v>0</v>
      </c>
      <c r="N183" s="12" t="s">
        <v>56</v>
      </c>
      <c r="O183" s="1">
        <f>SUM(O184:O184)</f>
        <v>0</v>
      </c>
      <c r="P183" s="34" t="s">
        <v>56</v>
      </c>
      <c r="AI183" s="12" t="s">
        <v>350</v>
      </c>
      <c r="AS183" s="1">
        <f>SUM(AJ184:AJ184)</f>
        <v>0</v>
      </c>
      <c r="AT183" s="1">
        <f>SUM(AK184:AK184)</f>
        <v>0</v>
      </c>
      <c r="AU183" s="1">
        <f>SUM(AL184:AL184)</f>
        <v>0</v>
      </c>
    </row>
    <row r="184" spans="1:76" ht="14.6" x14ac:dyDescent="0.4">
      <c r="A184" s="2" t="s">
        <v>405</v>
      </c>
      <c r="B184" s="3" t="s">
        <v>350</v>
      </c>
      <c r="C184" s="3" t="s">
        <v>406</v>
      </c>
      <c r="D184" s="83" t="s">
        <v>407</v>
      </c>
      <c r="E184" s="84"/>
      <c r="F184" s="3" t="s">
        <v>94</v>
      </c>
      <c r="G184" s="35">
        <v>181</v>
      </c>
      <c r="H184" s="82"/>
      <c r="I184" s="36" t="s">
        <v>65</v>
      </c>
      <c r="J184" s="35">
        <f>G184*AO184</f>
        <v>0</v>
      </c>
      <c r="K184" s="35">
        <f>G184*AP184</f>
        <v>0</v>
      </c>
      <c r="L184" s="35">
        <f>G184*H184</f>
        <v>0</v>
      </c>
      <c r="M184" s="35">
        <f>L184*(1+BW184/100)</f>
        <v>0</v>
      </c>
      <c r="N184" s="35">
        <v>0</v>
      </c>
      <c r="O184" s="35">
        <f>G184*N184</f>
        <v>0</v>
      </c>
      <c r="P184" s="37" t="s">
        <v>66</v>
      </c>
      <c r="Z184" s="35">
        <f>IF(AQ184="5",BJ184,0)</f>
        <v>0</v>
      </c>
      <c r="AB184" s="35">
        <f>IF(AQ184="1",BH184,0)</f>
        <v>0</v>
      </c>
      <c r="AC184" s="35">
        <f>IF(AQ184="1",BI184,0)</f>
        <v>0</v>
      </c>
      <c r="AD184" s="35">
        <f>IF(AQ184="7",BH184,0)</f>
        <v>0</v>
      </c>
      <c r="AE184" s="35">
        <f>IF(AQ184="7",BI184,0)</f>
        <v>0</v>
      </c>
      <c r="AF184" s="35">
        <f>IF(AQ184="2",BH184,0)</f>
        <v>0</v>
      </c>
      <c r="AG184" s="35">
        <f>IF(AQ184="2",BI184,0)</f>
        <v>0</v>
      </c>
      <c r="AH184" s="35">
        <f>IF(AQ184="0",BJ184,0)</f>
        <v>0</v>
      </c>
      <c r="AI184" s="12" t="s">
        <v>350</v>
      </c>
      <c r="AJ184" s="35">
        <f>IF(AN184=0,L184,0)</f>
        <v>0</v>
      </c>
      <c r="AK184" s="35">
        <f>IF(AN184=12,L184,0)</f>
        <v>0</v>
      </c>
      <c r="AL184" s="35">
        <f>IF(AN184=21,L184,0)</f>
        <v>0</v>
      </c>
      <c r="AN184" s="35">
        <v>21</v>
      </c>
      <c r="AO184" s="35">
        <f>H184*0</f>
        <v>0</v>
      </c>
      <c r="AP184" s="35">
        <f>H184*(1-0)</f>
        <v>0</v>
      </c>
      <c r="AQ184" s="36" t="s">
        <v>70</v>
      </c>
      <c r="AV184" s="35">
        <f>AW184+AX184</f>
        <v>0</v>
      </c>
      <c r="AW184" s="35">
        <f>G184*AO184</f>
        <v>0</v>
      </c>
      <c r="AX184" s="35">
        <f>G184*AP184</f>
        <v>0</v>
      </c>
      <c r="AY184" s="36" t="s">
        <v>408</v>
      </c>
      <c r="AZ184" s="36" t="s">
        <v>358</v>
      </c>
      <c r="BA184" s="12" t="s">
        <v>359</v>
      </c>
      <c r="BC184" s="35">
        <f>AW184+AX184</f>
        <v>0</v>
      </c>
      <c r="BD184" s="35">
        <f>H184/(100-BE184)*100</f>
        <v>0</v>
      </c>
      <c r="BE184" s="35">
        <v>0</v>
      </c>
      <c r="BF184" s="35">
        <f>O184</f>
        <v>0</v>
      </c>
      <c r="BH184" s="35">
        <f>G184*AO184</f>
        <v>0</v>
      </c>
      <c r="BI184" s="35">
        <f>G184*AP184</f>
        <v>0</v>
      </c>
      <c r="BJ184" s="35">
        <f>G184*H184</f>
        <v>0</v>
      </c>
      <c r="BK184" s="35"/>
      <c r="BL184" s="35"/>
      <c r="BW184" s="35" t="str">
        <f>I184</f>
        <v>21</v>
      </c>
      <c r="BX184" s="4" t="s">
        <v>407</v>
      </c>
    </row>
    <row r="185" spans="1:76" ht="14.6" x14ac:dyDescent="0.4">
      <c r="A185" s="38"/>
      <c r="D185" s="40" t="s">
        <v>409</v>
      </c>
      <c r="E185" s="41" t="s">
        <v>56</v>
      </c>
      <c r="G185" s="42">
        <v>181</v>
      </c>
      <c r="P185" s="43"/>
    </row>
    <row r="186" spans="1:76" ht="14.6" x14ac:dyDescent="0.4">
      <c r="A186" s="31" t="s">
        <v>56</v>
      </c>
      <c r="B186" s="32" t="s">
        <v>350</v>
      </c>
      <c r="C186" s="32" t="s">
        <v>410</v>
      </c>
      <c r="D186" s="92" t="s">
        <v>411</v>
      </c>
      <c r="E186" s="93"/>
      <c r="F186" s="33" t="s">
        <v>4</v>
      </c>
      <c r="G186" s="33" t="s">
        <v>4</v>
      </c>
      <c r="H186" s="33" t="s">
        <v>4</v>
      </c>
      <c r="I186" s="33" t="s">
        <v>4</v>
      </c>
      <c r="J186" s="1">
        <f>SUM(J187:J219)</f>
        <v>0</v>
      </c>
      <c r="K186" s="1">
        <f>SUM(K187:K219)</f>
        <v>0</v>
      </c>
      <c r="L186" s="1">
        <f>SUM(L187:L219)</f>
        <v>0</v>
      </c>
      <c r="M186" s="1">
        <f>SUM(M187:M219)</f>
        <v>0</v>
      </c>
      <c r="N186" s="12" t="s">
        <v>56</v>
      </c>
      <c r="O186" s="1">
        <f>SUM(O187:O219)</f>
        <v>37.221761999999998</v>
      </c>
      <c r="P186" s="34" t="s">
        <v>56</v>
      </c>
      <c r="AI186" s="12" t="s">
        <v>350</v>
      </c>
      <c r="AS186" s="1">
        <f>SUM(AJ187:AJ219)</f>
        <v>0</v>
      </c>
      <c r="AT186" s="1">
        <f>SUM(AK187:AK219)</f>
        <v>0</v>
      </c>
      <c r="AU186" s="1">
        <f>SUM(AL187:AL219)</f>
        <v>0</v>
      </c>
    </row>
    <row r="187" spans="1:76" ht="14.6" x14ac:dyDescent="0.4">
      <c r="A187" s="2" t="s">
        <v>412</v>
      </c>
      <c r="B187" s="3" t="s">
        <v>350</v>
      </c>
      <c r="C187" s="3" t="s">
        <v>413</v>
      </c>
      <c r="D187" s="83" t="s">
        <v>414</v>
      </c>
      <c r="E187" s="84"/>
      <c r="F187" s="3" t="s">
        <v>106</v>
      </c>
      <c r="G187" s="35">
        <v>12.5</v>
      </c>
      <c r="H187" s="82"/>
      <c r="I187" s="36" t="s">
        <v>65</v>
      </c>
      <c r="J187" s="35">
        <f>G187*AO187</f>
        <v>0</v>
      </c>
      <c r="K187" s="35">
        <f>G187*AP187</f>
        <v>0</v>
      </c>
      <c r="L187" s="35">
        <f>G187*H187</f>
        <v>0</v>
      </c>
      <c r="M187" s="35">
        <f>L187*(1+BW187/100)</f>
        <v>0</v>
      </c>
      <c r="N187" s="35">
        <v>0</v>
      </c>
      <c r="O187" s="35">
        <f>G187*N187</f>
        <v>0</v>
      </c>
      <c r="P187" s="37" t="s">
        <v>66</v>
      </c>
      <c r="Z187" s="35">
        <f>IF(AQ187="5",BJ187,0)</f>
        <v>0</v>
      </c>
      <c r="AB187" s="35">
        <f>IF(AQ187="1",BH187,0)</f>
        <v>0</v>
      </c>
      <c r="AC187" s="35">
        <f>IF(AQ187="1",BI187,0)</f>
        <v>0</v>
      </c>
      <c r="AD187" s="35">
        <f>IF(AQ187="7",BH187,0)</f>
        <v>0</v>
      </c>
      <c r="AE187" s="35">
        <f>IF(AQ187="7",BI187,0)</f>
        <v>0</v>
      </c>
      <c r="AF187" s="35">
        <f>IF(AQ187="2",BH187,0)</f>
        <v>0</v>
      </c>
      <c r="AG187" s="35">
        <f>IF(AQ187="2",BI187,0)</f>
        <v>0</v>
      </c>
      <c r="AH187" s="35">
        <f>IF(AQ187="0",BJ187,0)</f>
        <v>0</v>
      </c>
      <c r="AI187" s="12" t="s">
        <v>350</v>
      </c>
      <c r="AJ187" s="35">
        <f>IF(AN187=0,L187,0)</f>
        <v>0</v>
      </c>
      <c r="AK187" s="35">
        <f>IF(AN187=12,L187,0)</f>
        <v>0</v>
      </c>
      <c r="AL187" s="35">
        <f>IF(AN187=21,L187,0)</f>
        <v>0</v>
      </c>
      <c r="AN187" s="35">
        <v>21</v>
      </c>
      <c r="AO187" s="35">
        <f>H187*0</f>
        <v>0</v>
      </c>
      <c r="AP187" s="35">
        <f>H187*(1-0)</f>
        <v>0</v>
      </c>
      <c r="AQ187" s="36" t="s">
        <v>61</v>
      </c>
      <c r="AV187" s="35">
        <f>AW187+AX187</f>
        <v>0</v>
      </c>
      <c r="AW187" s="35">
        <f>G187*AO187</f>
        <v>0</v>
      </c>
      <c r="AX187" s="35">
        <f>G187*AP187</f>
        <v>0</v>
      </c>
      <c r="AY187" s="36" t="s">
        <v>415</v>
      </c>
      <c r="AZ187" s="36" t="s">
        <v>358</v>
      </c>
      <c r="BA187" s="12" t="s">
        <v>359</v>
      </c>
      <c r="BC187" s="35">
        <f>AW187+AX187</f>
        <v>0</v>
      </c>
      <c r="BD187" s="35">
        <f>H187/(100-BE187)*100</f>
        <v>0</v>
      </c>
      <c r="BE187" s="35">
        <v>0</v>
      </c>
      <c r="BF187" s="35">
        <f>O187</f>
        <v>0</v>
      </c>
      <c r="BH187" s="35">
        <f>G187*AO187</f>
        <v>0</v>
      </c>
      <c r="BI187" s="35">
        <f>G187*AP187</f>
        <v>0</v>
      </c>
      <c r="BJ187" s="35">
        <f>G187*H187</f>
        <v>0</v>
      </c>
      <c r="BK187" s="35"/>
      <c r="BL187" s="35"/>
      <c r="BW187" s="35" t="str">
        <f>I187</f>
        <v>21</v>
      </c>
      <c r="BX187" s="4" t="s">
        <v>414</v>
      </c>
    </row>
    <row r="188" spans="1:76" ht="14.6" x14ac:dyDescent="0.4">
      <c r="A188" s="2" t="s">
        <v>416</v>
      </c>
      <c r="B188" s="3" t="s">
        <v>350</v>
      </c>
      <c r="C188" s="3" t="s">
        <v>417</v>
      </c>
      <c r="D188" s="83" t="s">
        <v>418</v>
      </c>
      <c r="E188" s="84"/>
      <c r="F188" s="3" t="s">
        <v>419</v>
      </c>
      <c r="G188" s="35">
        <v>0.2</v>
      </c>
      <c r="H188" s="82"/>
      <c r="I188" s="36" t="s">
        <v>65</v>
      </c>
      <c r="J188" s="35">
        <f>G188*AO188</f>
        <v>0</v>
      </c>
      <c r="K188" s="35">
        <f>G188*AP188</f>
        <v>0</v>
      </c>
      <c r="L188" s="35">
        <f>G188*H188</f>
        <v>0</v>
      </c>
      <c r="M188" s="35">
        <f>L188*(1+BW188/100)</f>
        <v>0</v>
      </c>
      <c r="N188" s="35">
        <v>3.4209999999999997E-2</v>
      </c>
      <c r="O188" s="35">
        <f>G188*N188</f>
        <v>6.842E-3</v>
      </c>
      <c r="P188" s="37" t="s">
        <v>66</v>
      </c>
      <c r="Z188" s="35">
        <f>IF(AQ188="5",BJ188,0)</f>
        <v>0</v>
      </c>
      <c r="AB188" s="35">
        <f>IF(AQ188="1",BH188,0)</f>
        <v>0</v>
      </c>
      <c r="AC188" s="35">
        <f>IF(AQ188="1",BI188,0)</f>
        <v>0</v>
      </c>
      <c r="AD188" s="35">
        <f>IF(AQ188="7",BH188,0)</f>
        <v>0</v>
      </c>
      <c r="AE188" s="35">
        <f>IF(AQ188="7",BI188,0)</f>
        <v>0</v>
      </c>
      <c r="AF188" s="35">
        <f>IF(AQ188="2",BH188,0)</f>
        <v>0</v>
      </c>
      <c r="AG188" s="35">
        <f>IF(AQ188="2",BI188,0)</f>
        <v>0</v>
      </c>
      <c r="AH188" s="35">
        <f>IF(AQ188="0",BJ188,0)</f>
        <v>0</v>
      </c>
      <c r="AI188" s="12" t="s">
        <v>350</v>
      </c>
      <c r="AJ188" s="35">
        <f>IF(AN188=0,L188,0)</f>
        <v>0</v>
      </c>
      <c r="AK188" s="35">
        <f>IF(AN188=12,L188,0)</f>
        <v>0</v>
      </c>
      <c r="AL188" s="35">
        <f>IF(AN188=21,L188,0)</f>
        <v>0</v>
      </c>
      <c r="AN188" s="35">
        <v>21</v>
      </c>
      <c r="AO188" s="35">
        <f>H188*0.225535897</f>
        <v>0</v>
      </c>
      <c r="AP188" s="35">
        <f>H188*(1-0.225535897)</f>
        <v>0</v>
      </c>
      <c r="AQ188" s="36" t="s">
        <v>70</v>
      </c>
      <c r="AV188" s="35">
        <f>AW188+AX188</f>
        <v>0</v>
      </c>
      <c r="AW188" s="35">
        <f>G188*AO188</f>
        <v>0</v>
      </c>
      <c r="AX188" s="35">
        <f>G188*AP188</f>
        <v>0</v>
      </c>
      <c r="AY188" s="36" t="s">
        <v>415</v>
      </c>
      <c r="AZ188" s="36" t="s">
        <v>358</v>
      </c>
      <c r="BA188" s="12" t="s">
        <v>359</v>
      </c>
      <c r="BC188" s="35">
        <f>AW188+AX188</f>
        <v>0</v>
      </c>
      <c r="BD188" s="35">
        <f>H188/(100-BE188)*100</f>
        <v>0</v>
      </c>
      <c r="BE188" s="35">
        <v>0</v>
      </c>
      <c r="BF188" s="35">
        <f>O188</f>
        <v>6.842E-3</v>
      </c>
      <c r="BH188" s="35">
        <f>G188*AO188</f>
        <v>0</v>
      </c>
      <c r="BI188" s="35">
        <f>G188*AP188</f>
        <v>0</v>
      </c>
      <c r="BJ188" s="35">
        <f>G188*H188</f>
        <v>0</v>
      </c>
      <c r="BK188" s="35"/>
      <c r="BL188" s="35"/>
      <c r="BW188" s="35" t="str">
        <f>I188</f>
        <v>21</v>
      </c>
      <c r="BX188" s="4" t="s">
        <v>418</v>
      </c>
    </row>
    <row r="189" spans="1:76" ht="13.5" customHeight="1" x14ac:dyDescent="0.4">
      <c r="A189" s="38"/>
      <c r="C189" s="39" t="s">
        <v>73</v>
      </c>
      <c r="D189" s="94" t="s">
        <v>420</v>
      </c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6"/>
    </row>
    <row r="190" spans="1:76" ht="14.6" x14ac:dyDescent="0.4">
      <c r="A190" s="2" t="s">
        <v>421</v>
      </c>
      <c r="B190" s="3" t="s">
        <v>350</v>
      </c>
      <c r="C190" s="3" t="s">
        <v>422</v>
      </c>
      <c r="D190" s="83" t="s">
        <v>423</v>
      </c>
      <c r="E190" s="84"/>
      <c r="F190" s="3" t="s">
        <v>64</v>
      </c>
      <c r="G190" s="35">
        <v>63.35</v>
      </c>
      <c r="H190" s="82"/>
      <c r="I190" s="36" t="s">
        <v>65</v>
      </c>
      <c r="J190" s="35">
        <f>G190*AO190</f>
        <v>0</v>
      </c>
      <c r="K190" s="35">
        <f>G190*AP190</f>
        <v>0</v>
      </c>
      <c r="L190" s="35">
        <f>G190*H190</f>
        <v>0</v>
      </c>
      <c r="M190" s="35">
        <f>L190*(1+BW190/100)</f>
        <v>0</v>
      </c>
      <c r="N190" s="35">
        <v>0</v>
      </c>
      <c r="O190" s="35">
        <f>G190*N190</f>
        <v>0</v>
      </c>
      <c r="P190" s="37" t="s">
        <v>66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12" t="s">
        <v>350</v>
      </c>
      <c r="AJ190" s="35">
        <f>IF(AN190=0,L190,0)</f>
        <v>0</v>
      </c>
      <c r="AK190" s="35">
        <f>IF(AN190=12,L190,0)</f>
        <v>0</v>
      </c>
      <c r="AL190" s="35">
        <f>IF(AN190=21,L190,0)</f>
        <v>0</v>
      </c>
      <c r="AN190" s="35">
        <v>21</v>
      </c>
      <c r="AO190" s="35">
        <f>H190*0</f>
        <v>0</v>
      </c>
      <c r="AP190" s="35">
        <f>H190*(1-0)</f>
        <v>0</v>
      </c>
      <c r="AQ190" s="36" t="s">
        <v>70</v>
      </c>
      <c r="AV190" s="35">
        <f>AW190+AX190</f>
        <v>0</v>
      </c>
      <c r="AW190" s="35">
        <f>G190*AO190</f>
        <v>0</v>
      </c>
      <c r="AX190" s="35">
        <f>G190*AP190</f>
        <v>0</v>
      </c>
      <c r="AY190" s="36" t="s">
        <v>415</v>
      </c>
      <c r="AZ190" s="36" t="s">
        <v>358</v>
      </c>
      <c r="BA190" s="12" t="s">
        <v>359</v>
      </c>
      <c r="BC190" s="35">
        <f>AW190+AX190</f>
        <v>0</v>
      </c>
      <c r="BD190" s="35">
        <f>H190/(100-BE190)*100</f>
        <v>0</v>
      </c>
      <c r="BE190" s="35">
        <v>0</v>
      </c>
      <c r="BF190" s="35">
        <f>O190</f>
        <v>0</v>
      </c>
      <c r="BH190" s="35">
        <f>G190*AO190</f>
        <v>0</v>
      </c>
      <c r="BI190" s="35">
        <f>G190*AP190</f>
        <v>0</v>
      </c>
      <c r="BJ190" s="35">
        <f>G190*H190</f>
        <v>0</v>
      </c>
      <c r="BK190" s="35"/>
      <c r="BL190" s="35"/>
      <c r="BW190" s="35" t="str">
        <f>I190</f>
        <v>21</v>
      </c>
      <c r="BX190" s="4" t="s">
        <v>423</v>
      </c>
    </row>
    <row r="191" spans="1:76" ht="13.5" customHeight="1" x14ac:dyDescent="0.4">
      <c r="A191" s="38"/>
      <c r="C191" s="39" t="s">
        <v>73</v>
      </c>
      <c r="D191" s="94" t="s">
        <v>424</v>
      </c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6"/>
    </row>
    <row r="192" spans="1:76" ht="14.6" x14ac:dyDescent="0.4">
      <c r="A192" s="38"/>
      <c r="D192" s="40" t="s">
        <v>425</v>
      </c>
      <c r="E192" s="41" t="s">
        <v>56</v>
      </c>
      <c r="G192" s="42">
        <v>63.35</v>
      </c>
      <c r="P192" s="43"/>
    </row>
    <row r="193" spans="1:76" ht="14.6" x14ac:dyDescent="0.4">
      <c r="A193" s="2" t="s">
        <v>426</v>
      </c>
      <c r="B193" s="3" t="s">
        <v>350</v>
      </c>
      <c r="C193" s="3" t="s">
        <v>427</v>
      </c>
      <c r="D193" s="83" t="s">
        <v>428</v>
      </c>
      <c r="E193" s="84"/>
      <c r="F193" s="3" t="s">
        <v>228</v>
      </c>
      <c r="G193" s="35">
        <v>6</v>
      </c>
      <c r="H193" s="82"/>
      <c r="I193" s="36" t="s">
        <v>65</v>
      </c>
      <c r="J193" s="35">
        <f>G193*AO193</f>
        <v>0</v>
      </c>
      <c r="K193" s="35">
        <f>G193*AP193</f>
        <v>0</v>
      </c>
      <c r="L193" s="35">
        <f>G193*H193</f>
        <v>0</v>
      </c>
      <c r="M193" s="35">
        <f>L193*(1+BW193/100)</f>
        <v>0</v>
      </c>
      <c r="N193" s="35">
        <v>0</v>
      </c>
      <c r="O193" s="35">
        <f>G193*N193</f>
        <v>0</v>
      </c>
      <c r="P193" s="37" t="s">
        <v>66</v>
      </c>
      <c r="Z193" s="35">
        <f>IF(AQ193="5",BJ193,0)</f>
        <v>0</v>
      </c>
      <c r="AB193" s="35">
        <f>IF(AQ193="1",BH193,0)</f>
        <v>0</v>
      </c>
      <c r="AC193" s="35">
        <f>IF(AQ193="1",BI193,0)</f>
        <v>0</v>
      </c>
      <c r="AD193" s="35">
        <f>IF(AQ193="7",BH193,0)</f>
        <v>0</v>
      </c>
      <c r="AE193" s="35">
        <f>IF(AQ193="7",BI193,0)</f>
        <v>0</v>
      </c>
      <c r="AF193" s="35">
        <f>IF(AQ193="2",BH193,0)</f>
        <v>0</v>
      </c>
      <c r="AG193" s="35">
        <f>IF(AQ193="2",BI193,0)</f>
        <v>0</v>
      </c>
      <c r="AH193" s="35">
        <f>IF(AQ193="0",BJ193,0)</f>
        <v>0</v>
      </c>
      <c r="AI193" s="12" t="s">
        <v>350</v>
      </c>
      <c r="AJ193" s="35">
        <f>IF(AN193=0,L193,0)</f>
        <v>0</v>
      </c>
      <c r="AK193" s="35">
        <f>IF(AN193=12,L193,0)</f>
        <v>0</v>
      </c>
      <c r="AL193" s="35">
        <f>IF(AN193=21,L193,0)</f>
        <v>0</v>
      </c>
      <c r="AN193" s="35">
        <v>21</v>
      </c>
      <c r="AO193" s="35">
        <f>H193*0</f>
        <v>0</v>
      </c>
      <c r="AP193" s="35">
        <f>H193*(1-0)</f>
        <v>0</v>
      </c>
      <c r="AQ193" s="36" t="s">
        <v>70</v>
      </c>
      <c r="AV193" s="35">
        <f>AW193+AX193</f>
        <v>0</v>
      </c>
      <c r="AW193" s="35">
        <f>G193*AO193</f>
        <v>0</v>
      </c>
      <c r="AX193" s="35">
        <f>G193*AP193</f>
        <v>0</v>
      </c>
      <c r="AY193" s="36" t="s">
        <v>415</v>
      </c>
      <c r="AZ193" s="36" t="s">
        <v>358</v>
      </c>
      <c r="BA193" s="12" t="s">
        <v>359</v>
      </c>
      <c r="BC193" s="35">
        <f>AW193+AX193</f>
        <v>0</v>
      </c>
      <c r="BD193" s="35">
        <f>H193/(100-BE193)*100</f>
        <v>0</v>
      </c>
      <c r="BE193" s="35">
        <v>0</v>
      </c>
      <c r="BF193" s="35">
        <f>O193</f>
        <v>0</v>
      </c>
      <c r="BH193" s="35">
        <f>G193*AO193</f>
        <v>0</v>
      </c>
      <c r="BI193" s="35">
        <f>G193*AP193</f>
        <v>0</v>
      </c>
      <c r="BJ193" s="35">
        <f>G193*H193</f>
        <v>0</v>
      </c>
      <c r="BK193" s="35"/>
      <c r="BL193" s="35"/>
      <c r="BW193" s="35" t="str">
        <f>I193</f>
        <v>21</v>
      </c>
      <c r="BX193" s="4" t="s">
        <v>428</v>
      </c>
    </row>
    <row r="194" spans="1:76" ht="13.5" customHeight="1" x14ac:dyDescent="0.4">
      <c r="A194" s="38"/>
      <c r="C194" s="39" t="s">
        <v>73</v>
      </c>
      <c r="D194" s="94" t="s">
        <v>429</v>
      </c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6"/>
    </row>
    <row r="195" spans="1:76" ht="14.6" x14ac:dyDescent="0.4">
      <c r="A195" s="2" t="s">
        <v>430</v>
      </c>
      <c r="B195" s="3" t="s">
        <v>350</v>
      </c>
      <c r="C195" s="3" t="s">
        <v>431</v>
      </c>
      <c r="D195" s="83" t="s">
        <v>432</v>
      </c>
      <c r="E195" s="84"/>
      <c r="F195" s="3" t="s">
        <v>106</v>
      </c>
      <c r="G195" s="35">
        <v>3.9</v>
      </c>
      <c r="H195" s="82"/>
      <c r="I195" s="36" t="s">
        <v>65</v>
      </c>
      <c r="J195" s="35">
        <f>G195*AO195</f>
        <v>0</v>
      </c>
      <c r="K195" s="35">
        <f>G195*AP195</f>
        <v>0</v>
      </c>
      <c r="L195" s="35">
        <f>G195*H195</f>
        <v>0</v>
      </c>
      <c r="M195" s="35">
        <f>L195*(1+BW195/100)</f>
        <v>0</v>
      </c>
      <c r="N195" s="35">
        <v>2.5249999999999999</v>
      </c>
      <c r="O195" s="35">
        <f>G195*N195</f>
        <v>9.8475000000000001</v>
      </c>
      <c r="P195" s="37" t="s">
        <v>66</v>
      </c>
      <c r="Z195" s="35">
        <f>IF(AQ195="5",BJ195,0)</f>
        <v>0</v>
      </c>
      <c r="AB195" s="35">
        <f>IF(AQ195="1",BH195,0)</f>
        <v>0</v>
      </c>
      <c r="AC195" s="35">
        <f>IF(AQ195="1",BI195,0)</f>
        <v>0</v>
      </c>
      <c r="AD195" s="35">
        <f>IF(AQ195="7",BH195,0)</f>
        <v>0</v>
      </c>
      <c r="AE195" s="35">
        <f>IF(AQ195="7",BI195,0)</f>
        <v>0</v>
      </c>
      <c r="AF195" s="35">
        <f>IF(AQ195="2",BH195,0)</f>
        <v>0</v>
      </c>
      <c r="AG195" s="35">
        <f>IF(AQ195="2",BI195,0)</f>
        <v>0</v>
      </c>
      <c r="AH195" s="35">
        <f>IF(AQ195="0",BJ195,0)</f>
        <v>0</v>
      </c>
      <c r="AI195" s="12" t="s">
        <v>350</v>
      </c>
      <c r="AJ195" s="35">
        <f>IF(AN195=0,L195,0)</f>
        <v>0</v>
      </c>
      <c r="AK195" s="35">
        <f>IF(AN195=12,L195,0)</f>
        <v>0</v>
      </c>
      <c r="AL195" s="35">
        <f>IF(AN195=21,L195,0)</f>
        <v>0</v>
      </c>
      <c r="AN195" s="35">
        <v>21</v>
      </c>
      <c r="AO195" s="35">
        <f>H195*0.604869392</f>
        <v>0</v>
      </c>
      <c r="AP195" s="35">
        <f>H195*(1-0.604869392)</f>
        <v>0</v>
      </c>
      <c r="AQ195" s="36" t="s">
        <v>70</v>
      </c>
      <c r="AV195" s="35">
        <f>AW195+AX195</f>
        <v>0</v>
      </c>
      <c r="AW195" s="35">
        <f>G195*AO195</f>
        <v>0</v>
      </c>
      <c r="AX195" s="35">
        <f>G195*AP195</f>
        <v>0</v>
      </c>
      <c r="AY195" s="36" t="s">
        <v>415</v>
      </c>
      <c r="AZ195" s="36" t="s">
        <v>358</v>
      </c>
      <c r="BA195" s="12" t="s">
        <v>359</v>
      </c>
      <c r="BC195" s="35">
        <f>AW195+AX195</f>
        <v>0</v>
      </c>
      <c r="BD195" s="35">
        <f>H195/(100-BE195)*100</f>
        <v>0</v>
      </c>
      <c r="BE195" s="35">
        <v>0</v>
      </c>
      <c r="BF195" s="35">
        <f>O195</f>
        <v>9.8475000000000001</v>
      </c>
      <c r="BH195" s="35">
        <f>G195*AO195</f>
        <v>0</v>
      </c>
      <c r="BI195" s="35">
        <f>G195*AP195</f>
        <v>0</v>
      </c>
      <c r="BJ195" s="35">
        <f>G195*H195</f>
        <v>0</v>
      </c>
      <c r="BK195" s="35"/>
      <c r="BL195" s="35"/>
      <c r="BW195" s="35" t="str">
        <f>I195</f>
        <v>21</v>
      </c>
      <c r="BX195" s="4" t="s">
        <v>432</v>
      </c>
    </row>
    <row r="196" spans="1:76" ht="14.6" x14ac:dyDescent="0.4">
      <c r="A196" s="38"/>
      <c r="D196" s="40" t="s">
        <v>433</v>
      </c>
      <c r="E196" s="41" t="s">
        <v>56</v>
      </c>
      <c r="G196" s="42">
        <v>3.9</v>
      </c>
      <c r="P196" s="43"/>
    </row>
    <row r="197" spans="1:76" ht="14.6" x14ac:dyDescent="0.4">
      <c r="A197" s="2" t="s">
        <v>434</v>
      </c>
      <c r="B197" s="3" t="s">
        <v>350</v>
      </c>
      <c r="C197" s="3" t="s">
        <v>435</v>
      </c>
      <c r="D197" s="83" t="s">
        <v>436</v>
      </c>
      <c r="E197" s="84"/>
      <c r="F197" s="3" t="s">
        <v>228</v>
      </c>
      <c r="G197" s="35">
        <v>6</v>
      </c>
      <c r="H197" s="82"/>
      <c r="I197" s="36" t="s">
        <v>65</v>
      </c>
      <c r="J197" s="35">
        <f>G197*AO197</f>
        <v>0</v>
      </c>
      <c r="K197" s="35">
        <f>G197*AP197</f>
        <v>0</v>
      </c>
      <c r="L197" s="35">
        <f>G197*H197</f>
        <v>0</v>
      </c>
      <c r="M197" s="35">
        <f>L197*(1+BW197/100)</f>
        <v>0</v>
      </c>
      <c r="N197" s="35">
        <v>1.23325</v>
      </c>
      <c r="O197" s="35">
        <f>G197*N197</f>
        <v>7.3994999999999997</v>
      </c>
      <c r="P197" s="37" t="s">
        <v>66</v>
      </c>
      <c r="Z197" s="35">
        <f>IF(AQ197="5",BJ197,0)</f>
        <v>0</v>
      </c>
      <c r="AB197" s="35">
        <f>IF(AQ197="1",BH197,0)</f>
        <v>0</v>
      </c>
      <c r="AC197" s="35">
        <f>IF(AQ197="1",BI197,0)</f>
        <v>0</v>
      </c>
      <c r="AD197" s="35">
        <f>IF(AQ197="7",BH197,0)</f>
        <v>0</v>
      </c>
      <c r="AE197" s="35">
        <f>IF(AQ197="7",BI197,0)</f>
        <v>0</v>
      </c>
      <c r="AF197" s="35">
        <f>IF(AQ197="2",BH197,0)</f>
        <v>0</v>
      </c>
      <c r="AG197" s="35">
        <f>IF(AQ197="2",BI197,0)</f>
        <v>0</v>
      </c>
      <c r="AH197" s="35">
        <f>IF(AQ197="0",BJ197,0)</f>
        <v>0</v>
      </c>
      <c r="AI197" s="12" t="s">
        <v>350</v>
      </c>
      <c r="AJ197" s="35">
        <f>IF(AN197=0,L197,0)</f>
        <v>0</v>
      </c>
      <c r="AK197" s="35">
        <f>IF(AN197=12,L197,0)</f>
        <v>0</v>
      </c>
      <c r="AL197" s="35">
        <f>IF(AN197=21,L197,0)</f>
        <v>0</v>
      </c>
      <c r="AN197" s="35">
        <v>21</v>
      </c>
      <c r="AO197" s="35">
        <f>H197*0.708134913</f>
        <v>0</v>
      </c>
      <c r="AP197" s="35">
        <f>H197*(1-0.708134913)</f>
        <v>0</v>
      </c>
      <c r="AQ197" s="36" t="s">
        <v>70</v>
      </c>
      <c r="AV197" s="35">
        <f>AW197+AX197</f>
        <v>0</v>
      </c>
      <c r="AW197" s="35">
        <f>G197*AO197</f>
        <v>0</v>
      </c>
      <c r="AX197" s="35">
        <f>G197*AP197</f>
        <v>0</v>
      </c>
      <c r="AY197" s="36" t="s">
        <v>415</v>
      </c>
      <c r="AZ197" s="36" t="s">
        <v>358</v>
      </c>
      <c r="BA197" s="12" t="s">
        <v>359</v>
      </c>
      <c r="BC197" s="35">
        <f>AW197+AX197</f>
        <v>0</v>
      </c>
      <c r="BD197" s="35">
        <f>H197/(100-BE197)*100</f>
        <v>0</v>
      </c>
      <c r="BE197" s="35">
        <v>0</v>
      </c>
      <c r="BF197" s="35">
        <f>O197</f>
        <v>7.3994999999999997</v>
      </c>
      <c r="BH197" s="35">
        <f>G197*AO197</f>
        <v>0</v>
      </c>
      <c r="BI197" s="35">
        <f>G197*AP197</f>
        <v>0</v>
      </c>
      <c r="BJ197" s="35">
        <f>G197*H197</f>
        <v>0</v>
      </c>
      <c r="BK197" s="35"/>
      <c r="BL197" s="35"/>
      <c r="BW197" s="35" t="str">
        <f>I197</f>
        <v>21</v>
      </c>
      <c r="BX197" s="4" t="s">
        <v>436</v>
      </c>
    </row>
    <row r="198" spans="1:76" ht="13.5" customHeight="1" x14ac:dyDescent="0.4">
      <c r="A198" s="38"/>
      <c r="C198" s="39" t="s">
        <v>73</v>
      </c>
      <c r="D198" s="94" t="s">
        <v>437</v>
      </c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6"/>
    </row>
    <row r="199" spans="1:76" ht="14.6" x14ac:dyDescent="0.4">
      <c r="A199" s="2" t="s">
        <v>438</v>
      </c>
      <c r="B199" s="3" t="s">
        <v>350</v>
      </c>
      <c r="C199" s="3" t="s">
        <v>439</v>
      </c>
      <c r="D199" s="83" t="s">
        <v>440</v>
      </c>
      <c r="E199" s="84"/>
      <c r="F199" s="3" t="s">
        <v>94</v>
      </c>
      <c r="G199" s="35">
        <v>181</v>
      </c>
      <c r="H199" s="82"/>
      <c r="I199" s="36" t="s">
        <v>65</v>
      </c>
      <c r="J199" s="35">
        <f>G199*AO199</f>
        <v>0</v>
      </c>
      <c r="K199" s="35">
        <f>G199*AP199</f>
        <v>0</v>
      </c>
      <c r="L199" s="35">
        <f>G199*H199</f>
        <v>0</v>
      </c>
      <c r="M199" s="35">
        <f>L199*(1+BW199/100)</f>
        <v>0</v>
      </c>
      <c r="N199" s="35">
        <v>0</v>
      </c>
      <c r="O199" s="35">
        <f>G199*N199</f>
        <v>0</v>
      </c>
      <c r="P199" s="37" t="s">
        <v>66</v>
      </c>
      <c r="Z199" s="35">
        <f>IF(AQ199="5",BJ199,0)</f>
        <v>0</v>
      </c>
      <c r="AB199" s="35">
        <f>IF(AQ199="1",BH199,0)</f>
        <v>0</v>
      </c>
      <c r="AC199" s="35">
        <f>IF(AQ199="1",BI199,0)</f>
        <v>0</v>
      </c>
      <c r="AD199" s="35">
        <f>IF(AQ199="7",BH199,0)</f>
        <v>0</v>
      </c>
      <c r="AE199" s="35">
        <f>IF(AQ199="7",BI199,0)</f>
        <v>0</v>
      </c>
      <c r="AF199" s="35">
        <f>IF(AQ199="2",BH199,0)</f>
        <v>0</v>
      </c>
      <c r="AG199" s="35">
        <f>IF(AQ199="2",BI199,0)</f>
        <v>0</v>
      </c>
      <c r="AH199" s="35">
        <f>IF(AQ199="0",BJ199,0)</f>
        <v>0</v>
      </c>
      <c r="AI199" s="12" t="s">
        <v>350</v>
      </c>
      <c r="AJ199" s="35">
        <f>IF(AN199=0,L199,0)</f>
        <v>0</v>
      </c>
      <c r="AK199" s="35">
        <f>IF(AN199=12,L199,0)</f>
        <v>0</v>
      </c>
      <c r="AL199" s="35">
        <f>IF(AN199=21,L199,0)</f>
        <v>0</v>
      </c>
      <c r="AN199" s="35">
        <v>21</v>
      </c>
      <c r="AO199" s="35">
        <f>H199*0</f>
        <v>0</v>
      </c>
      <c r="AP199" s="35">
        <f>H199*(1-0)</f>
        <v>0</v>
      </c>
      <c r="AQ199" s="36" t="s">
        <v>70</v>
      </c>
      <c r="AV199" s="35">
        <f>AW199+AX199</f>
        <v>0</v>
      </c>
      <c r="AW199" s="35">
        <f>G199*AO199</f>
        <v>0</v>
      </c>
      <c r="AX199" s="35">
        <f>G199*AP199</f>
        <v>0</v>
      </c>
      <c r="AY199" s="36" t="s">
        <v>415</v>
      </c>
      <c r="AZ199" s="36" t="s">
        <v>358</v>
      </c>
      <c r="BA199" s="12" t="s">
        <v>359</v>
      </c>
      <c r="BC199" s="35">
        <f>AW199+AX199</f>
        <v>0</v>
      </c>
      <c r="BD199" s="35">
        <f>H199/(100-BE199)*100</f>
        <v>0</v>
      </c>
      <c r="BE199" s="35">
        <v>0</v>
      </c>
      <c r="BF199" s="35">
        <f>O199</f>
        <v>0</v>
      </c>
      <c r="BH199" s="35">
        <f>G199*AO199</f>
        <v>0</v>
      </c>
      <c r="BI199" s="35">
        <f>G199*AP199</f>
        <v>0</v>
      </c>
      <c r="BJ199" s="35">
        <f>G199*H199</f>
        <v>0</v>
      </c>
      <c r="BK199" s="35"/>
      <c r="BL199" s="35"/>
      <c r="BW199" s="35" t="str">
        <f>I199</f>
        <v>21</v>
      </c>
      <c r="BX199" s="4" t="s">
        <v>440</v>
      </c>
    </row>
    <row r="200" spans="1:76" ht="14.6" x14ac:dyDescent="0.4">
      <c r="A200" s="38"/>
      <c r="D200" s="40" t="s">
        <v>409</v>
      </c>
      <c r="E200" s="41" t="s">
        <v>56</v>
      </c>
      <c r="G200" s="42">
        <v>181</v>
      </c>
      <c r="P200" s="43"/>
    </row>
    <row r="201" spans="1:76" ht="14.6" x14ac:dyDescent="0.4">
      <c r="A201" s="2" t="s">
        <v>441</v>
      </c>
      <c r="B201" s="3" t="s">
        <v>350</v>
      </c>
      <c r="C201" s="3" t="s">
        <v>442</v>
      </c>
      <c r="D201" s="83" t="s">
        <v>443</v>
      </c>
      <c r="E201" s="84"/>
      <c r="F201" s="3" t="s">
        <v>94</v>
      </c>
      <c r="G201" s="35">
        <v>181</v>
      </c>
      <c r="H201" s="82"/>
      <c r="I201" s="36" t="s">
        <v>65</v>
      </c>
      <c r="J201" s="35">
        <f>G201*AO201</f>
        <v>0</v>
      </c>
      <c r="K201" s="35">
        <f>G201*AP201</f>
        <v>0</v>
      </c>
      <c r="L201" s="35">
        <f>G201*H201</f>
        <v>0</v>
      </c>
      <c r="M201" s="35">
        <f>L201*(1+BW201/100)</f>
        <v>0</v>
      </c>
      <c r="N201" s="35">
        <v>0.11025</v>
      </c>
      <c r="O201" s="35">
        <f>G201*N201</f>
        <v>19.955249999999999</v>
      </c>
      <c r="P201" s="37" t="s">
        <v>66</v>
      </c>
      <c r="Z201" s="35">
        <f>IF(AQ201="5",BJ201,0)</f>
        <v>0</v>
      </c>
      <c r="AB201" s="35">
        <f>IF(AQ201="1",BH201,0)</f>
        <v>0</v>
      </c>
      <c r="AC201" s="35">
        <f>IF(AQ201="1",BI201,0)</f>
        <v>0</v>
      </c>
      <c r="AD201" s="35">
        <f>IF(AQ201="7",BH201,0)</f>
        <v>0</v>
      </c>
      <c r="AE201" s="35">
        <f>IF(AQ201="7",BI201,0)</f>
        <v>0</v>
      </c>
      <c r="AF201" s="35">
        <f>IF(AQ201="2",BH201,0)</f>
        <v>0</v>
      </c>
      <c r="AG201" s="35">
        <f>IF(AQ201="2",BI201,0)</f>
        <v>0</v>
      </c>
      <c r="AH201" s="35">
        <f>IF(AQ201="0",BJ201,0)</f>
        <v>0</v>
      </c>
      <c r="AI201" s="12" t="s">
        <v>350</v>
      </c>
      <c r="AJ201" s="35">
        <f>IF(AN201=0,L201,0)</f>
        <v>0</v>
      </c>
      <c r="AK201" s="35">
        <f>IF(AN201=12,L201,0)</f>
        <v>0</v>
      </c>
      <c r="AL201" s="35">
        <f>IF(AN201=21,L201,0)</f>
        <v>0</v>
      </c>
      <c r="AN201" s="35">
        <v>21</v>
      </c>
      <c r="AO201" s="35">
        <f>H201*0.588471643</f>
        <v>0</v>
      </c>
      <c r="AP201" s="35">
        <f>H201*(1-0.588471643)</f>
        <v>0</v>
      </c>
      <c r="AQ201" s="36" t="s">
        <v>70</v>
      </c>
      <c r="AV201" s="35">
        <f>AW201+AX201</f>
        <v>0</v>
      </c>
      <c r="AW201" s="35">
        <f>G201*AO201</f>
        <v>0</v>
      </c>
      <c r="AX201" s="35">
        <f>G201*AP201</f>
        <v>0</v>
      </c>
      <c r="AY201" s="36" t="s">
        <v>415</v>
      </c>
      <c r="AZ201" s="36" t="s">
        <v>358</v>
      </c>
      <c r="BA201" s="12" t="s">
        <v>359</v>
      </c>
      <c r="BC201" s="35">
        <f>AW201+AX201</f>
        <v>0</v>
      </c>
      <c r="BD201" s="35">
        <f>H201/(100-BE201)*100</f>
        <v>0</v>
      </c>
      <c r="BE201" s="35">
        <v>0</v>
      </c>
      <c r="BF201" s="35">
        <f>O201</f>
        <v>19.955249999999999</v>
      </c>
      <c r="BH201" s="35">
        <f>G201*AO201</f>
        <v>0</v>
      </c>
      <c r="BI201" s="35">
        <f>G201*AP201</f>
        <v>0</v>
      </c>
      <c r="BJ201" s="35">
        <f>G201*H201</f>
        <v>0</v>
      </c>
      <c r="BK201" s="35"/>
      <c r="BL201" s="35"/>
      <c r="BW201" s="35" t="str">
        <f>I201</f>
        <v>21</v>
      </c>
      <c r="BX201" s="4" t="s">
        <v>443</v>
      </c>
    </row>
    <row r="202" spans="1:76" ht="13.5" customHeight="1" x14ac:dyDescent="0.4">
      <c r="A202" s="38"/>
      <c r="C202" s="39" t="s">
        <v>73</v>
      </c>
      <c r="D202" s="94" t="s">
        <v>444</v>
      </c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6"/>
    </row>
    <row r="203" spans="1:76" ht="14.6" x14ac:dyDescent="0.4">
      <c r="A203" s="38"/>
      <c r="D203" s="40" t="s">
        <v>409</v>
      </c>
      <c r="E203" s="41" t="s">
        <v>56</v>
      </c>
      <c r="G203" s="42">
        <v>181</v>
      </c>
      <c r="P203" s="43"/>
    </row>
    <row r="204" spans="1:76" ht="14.6" x14ac:dyDescent="0.4">
      <c r="A204" s="2" t="s">
        <v>445</v>
      </c>
      <c r="B204" s="3" t="s">
        <v>350</v>
      </c>
      <c r="C204" s="3" t="s">
        <v>446</v>
      </c>
      <c r="D204" s="83" t="s">
        <v>447</v>
      </c>
      <c r="E204" s="84"/>
      <c r="F204" s="3" t="s">
        <v>94</v>
      </c>
      <c r="G204" s="35">
        <v>181</v>
      </c>
      <c r="H204" s="82"/>
      <c r="I204" s="36" t="s">
        <v>65</v>
      </c>
      <c r="J204" s="35">
        <f>G204*AO204</f>
        <v>0</v>
      </c>
      <c r="K204" s="35">
        <f>G204*AP204</f>
        <v>0</v>
      </c>
      <c r="L204" s="35">
        <f>G204*H204</f>
        <v>0</v>
      </c>
      <c r="M204" s="35">
        <f>L204*(1+BW204/100)</f>
        <v>0</v>
      </c>
      <c r="N204" s="35">
        <v>6.0000000000000002E-5</v>
      </c>
      <c r="O204" s="35">
        <f>G204*N204</f>
        <v>1.086E-2</v>
      </c>
      <c r="P204" s="37" t="s">
        <v>66</v>
      </c>
      <c r="Z204" s="35">
        <f>IF(AQ204="5",BJ204,0)</f>
        <v>0</v>
      </c>
      <c r="AB204" s="35">
        <f>IF(AQ204="1",BH204,0)</f>
        <v>0</v>
      </c>
      <c r="AC204" s="35">
        <f>IF(AQ204="1",BI204,0)</f>
        <v>0</v>
      </c>
      <c r="AD204" s="35">
        <f>IF(AQ204="7",BH204,0)</f>
        <v>0</v>
      </c>
      <c r="AE204" s="35">
        <f>IF(AQ204="7",BI204,0)</f>
        <v>0</v>
      </c>
      <c r="AF204" s="35">
        <f>IF(AQ204="2",BH204,0)</f>
        <v>0</v>
      </c>
      <c r="AG204" s="35">
        <f>IF(AQ204="2",BI204,0)</f>
        <v>0</v>
      </c>
      <c r="AH204" s="35">
        <f>IF(AQ204="0",BJ204,0)</f>
        <v>0</v>
      </c>
      <c r="AI204" s="12" t="s">
        <v>350</v>
      </c>
      <c r="AJ204" s="35">
        <f>IF(AN204=0,L204,0)</f>
        <v>0</v>
      </c>
      <c r="AK204" s="35">
        <f>IF(AN204=12,L204,0)</f>
        <v>0</v>
      </c>
      <c r="AL204" s="35">
        <f>IF(AN204=21,L204,0)</f>
        <v>0</v>
      </c>
      <c r="AN204" s="35">
        <v>21</v>
      </c>
      <c r="AO204" s="35">
        <f>H204*0.419911504</f>
        <v>0</v>
      </c>
      <c r="AP204" s="35">
        <f>H204*(1-0.419911504)</f>
        <v>0</v>
      </c>
      <c r="AQ204" s="36" t="s">
        <v>70</v>
      </c>
      <c r="AV204" s="35">
        <f>AW204+AX204</f>
        <v>0</v>
      </c>
      <c r="AW204" s="35">
        <f>G204*AO204</f>
        <v>0</v>
      </c>
      <c r="AX204" s="35">
        <f>G204*AP204</f>
        <v>0</v>
      </c>
      <c r="AY204" s="36" t="s">
        <v>415</v>
      </c>
      <c r="AZ204" s="36" t="s">
        <v>358</v>
      </c>
      <c r="BA204" s="12" t="s">
        <v>359</v>
      </c>
      <c r="BC204" s="35">
        <f>AW204+AX204</f>
        <v>0</v>
      </c>
      <c r="BD204" s="35">
        <f>H204/(100-BE204)*100</f>
        <v>0</v>
      </c>
      <c r="BE204" s="35">
        <v>0</v>
      </c>
      <c r="BF204" s="35">
        <f>O204</f>
        <v>1.086E-2</v>
      </c>
      <c r="BH204" s="35">
        <f>G204*AO204</f>
        <v>0</v>
      </c>
      <c r="BI204" s="35">
        <f>G204*AP204</f>
        <v>0</v>
      </c>
      <c r="BJ204" s="35">
        <f>G204*H204</f>
        <v>0</v>
      </c>
      <c r="BK204" s="35"/>
      <c r="BL204" s="35"/>
      <c r="BW204" s="35" t="str">
        <f>I204</f>
        <v>21</v>
      </c>
      <c r="BX204" s="4" t="s">
        <v>447</v>
      </c>
    </row>
    <row r="205" spans="1:76" ht="14.6" x14ac:dyDescent="0.4">
      <c r="A205" s="38"/>
      <c r="D205" s="40" t="s">
        <v>409</v>
      </c>
      <c r="E205" s="41" t="s">
        <v>56</v>
      </c>
      <c r="G205" s="42">
        <v>181</v>
      </c>
      <c r="P205" s="43"/>
    </row>
    <row r="206" spans="1:76" ht="14.6" x14ac:dyDescent="0.4">
      <c r="A206" s="2" t="s">
        <v>448</v>
      </c>
      <c r="B206" s="3" t="s">
        <v>350</v>
      </c>
      <c r="C206" s="3" t="s">
        <v>449</v>
      </c>
      <c r="D206" s="83" t="s">
        <v>450</v>
      </c>
      <c r="E206" s="84"/>
      <c r="F206" s="3" t="s">
        <v>94</v>
      </c>
      <c r="G206" s="35">
        <v>181</v>
      </c>
      <c r="H206" s="82"/>
      <c r="I206" s="36" t="s">
        <v>65</v>
      </c>
      <c r="J206" s="35">
        <f>G206*AO206</f>
        <v>0</v>
      </c>
      <c r="K206" s="35">
        <f>G206*AP206</f>
        <v>0</v>
      </c>
      <c r="L206" s="35">
        <f>G206*H206</f>
        <v>0</v>
      </c>
      <c r="M206" s="35">
        <f>L206*(1+BW206/100)</f>
        <v>0</v>
      </c>
      <c r="N206" s="35">
        <v>0</v>
      </c>
      <c r="O206" s="35">
        <f>G206*N206</f>
        <v>0</v>
      </c>
      <c r="P206" s="37" t="s">
        <v>66</v>
      </c>
      <c r="Z206" s="35">
        <f>IF(AQ206="5",BJ206,0)</f>
        <v>0</v>
      </c>
      <c r="AB206" s="35">
        <f>IF(AQ206="1",BH206,0)</f>
        <v>0</v>
      </c>
      <c r="AC206" s="35">
        <f>IF(AQ206="1",BI206,0)</f>
        <v>0</v>
      </c>
      <c r="AD206" s="35">
        <f>IF(AQ206="7",BH206,0)</f>
        <v>0</v>
      </c>
      <c r="AE206" s="35">
        <f>IF(AQ206="7",BI206,0)</f>
        <v>0</v>
      </c>
      <c r="AF206" s="35">
        <f>IF(AQ206="2",BH206,0)</f>
        <v>0</v>
      </c>
      <c r="AG206" s="35">
        <f>IF(AQ206="2",BI206,0)</f>
        <v>0</v>
      </c>
      <c r="AH206" s="35">
        <f>IF(AQ206="0",BJ206,0)</f>
        <v>0</v>
      </c>
      <c r="AI206" s="12" t="s">
        <v>350</v>
      </c>
      <c r="AJ206" s="35">
        <f>IF(AN206=0,L206,0)</f>
        <v>0</v>
      </c>
      <c r="AK206" s="35">
        <f>IF(AN206=12,L206,0)</f>
        <v>0</v>
      </c>
      <c r="AL206" s="35">
        <f>IF(AN206=21,L206,0)</f>
        <v>0</v>
      </c>
      <c r="AN206" s="35">
        <v>21</v>
      </c>
      <c r="AO206" s="35">
        <f>H206*0</f>
        <v>0</v>
      </c>
      <c r="AP206" s="35">
        <f>H206*(1-0)</f>
        <v>0</v>
      </c>
      <c r="AQ206" s="36" t="s">
        <v>70</v>
      </c>
      <c r="AV206" s="35">
        <f>AW206+AX206</f>
        <v>0</v>
      </c>
      <c r="AW206" s="35">
        <f>G206*AO206</f>
        <v>0</v>
      </c>
      <c r="AX206" s="35">
        <f>G206*AP206</f>
        <v>0</v>
      </c>
      <c r="AY206" s="36" t="s">
        <v>415</v>
      </c>
      <c r="AZ206" s="36" t="s">
        <v>358</v>
      </c>
      <c r="BA206" s="12" t="s">
        <v>359</v>
      </c>
      <c r="BC206" s="35">
        <f>AW206+AX206</f>
        <v>0</v>
      </c>
      <c r="BD206" s="35">
        <f>H206/(100-BE206)*100</f>
        <v>0</v>
      </c>
      <c r="BE206" s="35">
        <v>0</v>
      </c>
      <c r="BF206" s="35">
        <f>O206</f>
        <v>0</v>
      </c>
      <c r="BH206" s="35">
        <f>G206*AO206</f>
        <v>0</v>
      </c>
      <c r="BI206" s="35">
        <f>G206*AP206</f>
        <v>0</v>
      </c>
      <c r="BJ206" s="35">
        <f>G206*H206</f>
        <v>0</v>
      </c>
      <c r="BK206" s="35"/>
      <c r="BL206" s="35"/>
      <c r="BW206" s="35" t="str">
        <f>I206</f>
        <v>21</v>
      </c>
      <c r="BX206" s="4" t="s">
        <v>450</v>
      </c>
    </row>
    <row r="207" spans="1:76" ht="13.5" customHeight="1" x14ac:dyDescent="0.4">
      <c r="A207" s="38"/>
      <c r="C207" s="39" t="s">
        <v>73</v>
      </c>
      <c r="D207" s="94" t="s">
        <v>451</v>
      </c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6"/>
    </row>
    <row r="208" spans="1:76" ht="14.6" x14ac:dyDescent="0.4">
      <c r="A208" s="38"/>
      <c r="D208" s="40" t="s">
        <v>409</v>
      </c>
      <c r="E208" s="41" t="s">
        <v>56</v>
      </c>
      <c r="G208" s="42">
        <v>181</v>
      </c>
      <c r="P208" s="43"/>
    </row>
    <row r="209" spans="1:76" ht="14.6" x14ac:dyDescent="0.4">
      <c r="A209" s="2" t="s">
        <v>452</v>
      </c>
      <c r="B209" s="3" t="s">
        <v>350</v>
      </c>
      <c r="C209" s="3" t="s">
        <v>453</v>
      </c>
      <c r="D209" s="83" t="s">
        <v>454</v>
      </c>
      <c r="E209" s="84"/>
      <c r="F209" s="3" t="s">
        <v>94</v>
      </c>
      <c r="G209" s="35">
        <v>181</v>
      </c>
      <c r="H209" s="82"/>
      <c r="I209" s="36" t="s">
        <v>65</v>
      </c>
      <c r="J209" s="35">
        <f>G209*AO209</f>
        <v>0</v>
      </c>
      <c r="K209" s="35">
        <f>G209*AP209</f>
        <v>0</v>
      </c>
      <c r="L209" s="35">
        <f>G209*H209</f>
        <v>0</v>
      </c>
      <c r="M209" s="35">
        <f>L209*(1+BW209/100)</f>
        <v>0</v>
      </c>
      <c r="N209" s="35">
        <v>0</v>
      </c>
      <c r="O209" s="35">
        <f>G209*N209</f>
        <v>0</v>
      </c>
      <c r="P209" s="37" t="s">
        <v>66</v>
      </c>
      <c r="Z209" s="35">
        <f>IF(AQ209="5",BJ209,0)</f>
        <v>0</v>
      </c>
      <c r="AB209" s="35">
        <f>IF(AQ209="1",BH209,0)</f>
        <v>0</v>
      </c>
      <c r="AC209" s="35">
        <f>IF(AQ209="1",BI209,0)</f>
        <v>0</v>
      </c>
      <c r="AD209" s="35">
        <f>IF(AQ209="7",BH209,0)</f>
        <v>0</v>
      </c>
      <c r="AE209" s="35">
        <f>IF(AQ209="7",BI209,0)</f>
        <v>0</v>
      </c>
      <c r="AF209" s="35">
        <f>IF(AQ209="2",BH209,0)</f>
        <v>0</v>
      </c>
      <c r="AG209" s="35">
        <f>IF(AQ209="2",BI209,0)</f>
        <v>0</v>
      </c>
      <c r="AH209" s="35">
        <f>IF(AQ209="0",BJ209,0)</f>
        <v>0</v>
      </c>
      <c r="AI209" s="12" t="s">
        <v>350</v>
      </c>
      <c r="AJ209" s="35">
        <f>IF(AN209=0,L209,0)</f>
        <v>0</v>
      </c>
      <c r="AK209" s="35">
        <f>IF(AN209=12,L209,0)</f>
        <v>0</v>
      </c>
      <c r="AL209" s="35">
        <f>IF(AN209=21,L209,0)</f>
        <v>0</v>
      </c>
      <c r="AN209" s="35">
        <v>21</v>
      </c>
      <c r="AO209" s="35">
        <f>H209*0</f>
        <v>0</v>
      </c>
      <c r="AP209" s="35">
        <f>H209*(1-0)</f>
        <v>0</v>
      </c>
      <c r="AQ209" s="36" t="s">
        <v>70</v>
      </c>
      <c r="AV209" s="35">
        <f>AW209+AX209</f>
        <v>0</v>
      </c>
      <c r="AW209" s="35">
        <f>G209*AO209</f>
        <v>0</v>
      </c>
      <c r="AX209" s="35">
        <f>G209*AP209</f>
        <v>0</v>
      </c>
      <c r="AY209" s="36" t="s">
        <v>415</v>
      </c>
      <c r="AZ209" s="36" t="s">
        <v>358</v>
      </c>
      <c r="BA209" s="12" t="s">
        <v>359</v>
      </c>
      <c r="BC209" s="35">
        <f>AW209+AX209</f>
        <v>0</v>
      </c>
      <c r="BD209" s="35">
        <f>H209/(100-BE209)*100</f>
        <v>0</v>
      </c>
      <c r="BE209" s="35">
        <v>0</v>
      </c>
      <c r="BF209" s="35">
        <f>O209</f>
        <v>0</v>
      </c>
      <c r="BH209" s="35">
        <f>G209*AO209</f>
        <v>0</v>
      </c>
      <c r="BI209" s="35">
        <f>G209*AP209</f>
        <v>0</v>
      </c>
      <c r="BJ209" s="35">
        <f>G209*H209</f>
        <v>0</v>
      </c>
      <c r="BK209" s="35"/>
      <c r="BL209" s="35"/>
      <c r="BW209" s="35" t="str">
        <f>I209</f>
        <v>21</v>
      </c>
      <c r="BX209" s="4" t="s">
        <v>454</v>
      </c>
    </row>
    <row r="210" spans="1:76" ht="13.5" customHeight="1" x14ac:dyDescent="0.4">
      <c r="A210" s="38"/>
      <c r="C210" s="39" t="s">
        <v>73</v>
      </c>
      <c r="D210" s="94" t="s">
        <v>455</v>
      </c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6"/>
    </row>
    <row r="211" spans="1:76" ht="14.6" x14ac:dyDescent="0.4">
      <c r="A211" s="2" t="s">
        <v>456</v>
      </c>
      <c r="B211" s="3" t="s">
        <v>350</v>
      </c>
      <c r="C211" s="3" t="s">
        <v>457</v>
      </c>
      <c r="D211" s="83" t="s">
        <v>458</v>
      </c>
      <c r="E211" s="84"/>
      <c r="F211" s="3" t="s">
        <v>106</v>
      </c>
      <c r="G211" s="35">
        <v>12.5</v>
      </c>
      <c r="H211" s="82"/>
      <c r="I211" s="36" t="s">
        <v>65</v>
      </c>
      <c r="J211" s="35">
        <f>G211*AO211</f>
        <v>0</v>
      </c>
      <c r="K211" s="35">
        <f>G211*AP211</f>
        <v>0</v>
      </c>
      <c r="L211" s="35">
        <f>G211*H211</f>
        <v>0</v>
      </c>
      <c r="M211" s="35">
        <f>L211*(1+BW211/100)</f>
        <v>0</v>
      </c>
      <c r="N211" s="35">
        <v>0</v>
      </c>
      <c r="O211" s="35">
        <f>G211*N211</f>
        <v>0</v>
      </c>
      <c r="P211" s="37" t="s">
        <v>66</v>
      </c>
      <c r="Z211" s="35">
        <f>IF(AQ211="5",BJ211,0)</f>
        <v>0</v>
      </c>
      <c r="AB211" s="35">
        <f>IF(AQ211="1",BH211,0)</f>
        <v>0</v>
      </c>
      <c r="AC211" s="35">
        <f>IF(AQ211="1",BI211,0)</f>
        <v>0</v>
      </c>
      <c r="AD211" s="35">
        <f>IF(AQ211="7",BH211,0)</f>
        <v>0</v>
      </c>
      <c r="AE211" s="35">
        <f>IF(AQ211="7",BI211,0)</f>
        <v>0</v>
      </c>
      <c r="AF211" s="35">
        <f>IF(AQ211="2",BH211,0)</f>
        <v>0</v>
      </c>
      <c r="AG211" s="35">
        <f>IF(AQ211="2",BI211,0)</f>
        <v>0</v>
      </c>
      <c r="AH211" s="35">
        <f>IF(AQ211="0",BJ211,0)</f>
        <v>0</v>
      </c>
      <c r="AI211" s="12" t="s">
        <v>350</v>
      </c>
      <c r="AJ211" s="35">
        <f>IF(AN211=0,L211,0)</f>
        <v>0</v>
      </c>
      <c r="AK211" s="35">
        <f>IF(AN211=12,L211,0)</f>
        <v>0</v>
      </c>
      <c r="AL211" s="35">
        <f>IF(AN211=21,L211,0)</f>
        <v>0</v>
      </c>
      <c r="AN211" s="35">
        <v>21</v>
      </c>
      <c r="AO211" s="35">
        <f>H211*0</f>
        <v>0</v>
      </c>
      <c r="AP211" s="35">
        <f>H211*(1-0)</f>
        <v>0</v>
      </c>
      <c r="AQ211" s="36" t="s">
        <v>70</v>
      </c>
      <c r="AV211" s="35">
        <f>AW211+AX211</f>
        <v>0</v>
      </c>
      <c r="AW211" s="35">
        <f>G211*AO211</f>
        <v>0</v>
      </c>
      <c r="AX211" s="35">
        <f>G211*AP211</f>
        <v>0</v>
      </c>
      <c r="AY211" s="36" t="s">
        <v>415</v>
      </c>
      <c r="AZ211" s="36" t="s">
        <v>358</v>
      </c>
      <c r="BA211" s="12" t="s">
        <v>359</v>
      </c>
      <c r="BC211" s="35">
        <f>AW211+AX211</f>
        <v>0</v>
      </c>
      <c r="BD211" s="35">
        <f>H211/(100-BE211)*100</f>
        <v>0</v>
      </c>
      <c r="BE211" s="35">
        <v>0</v>
      </c>
      <c r="BF211" s="35">
        <f>O211</f>
        <v>0</v>
      </c>
      <c r="BH211" s="35">
        <f>G211*AO211</f>
        <v>0</v>
      </c>
      <c r="BI211" s="35">
        <f>G211*AP211</f>
        <v>0</v>
      </c>
      <c r="BJ211" s="35">
        <f>G211*H211</f>
        <v>0</v>
      </c>
      <c r="BK211" s="35"/>
      <c r="BL211" s="35"/>
      <c r="BW211" s="35" t="str">
        <f>I211</f>
        <v>21</v>
      </c>
      <c r="BX211" s="4" t="s">
        <v>458</v>
      </c>
    </row>
    <row r="212" spans="1:76" ht="13.5" customHeight="1" x14ac:dyDescent="0.4">
      <c r="A212" s="38"/>
      <c r="C212" s="39" t="s">
        <v>73</v>
      </c>
      <c r="D212" s="94" t="s">
        <v>459</v>
      </c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6"/>
    </row>
    <row r="213" spans="1:76" ht="14.6" x14ac:dyDescent="0.4">
      <c r="A213" s="38"/>
      <c r="D213" s="40" t="s">
        <v>460</v>
      </c>
      <c r="E213" s="41" t="s">
        <v>56</v>
      </c>
      <c r="G213" s="42">
        <v>12.5</v>
      </c>
      <c r="P213" s="43"/>
    </row>
    <row r="214" spans="1:76" ht="14.6" x14ac:dyDescent="0.4">
      <c r="A214" s="2" t="s">
        <v>461</v>
      </c>
      <c r="B214" s="3" t="s">
        <v>350</v>
      </c>
      <c r="C214" s="3" t="s">
        <v>462</v>
      </c>
      <c r="D214" s="83" t="s">
        <v>463</v>
      </c>
      <c r="E214" s="84"/>
      <c r="F214" s="3" t="s">
        <v>64</v>
      </c>
      <c r="G214" s="35">
        <v>63.35</v>
      </c>
      <c r="H214" s="82"/>
      <c r="I214" s="36" t="s">
        <v>65</v>
      </c>
      <c r="J214" s="35">
        <f>G214*AO214</f>
        <v>0</v>
      </c>
      <c r="K214" s="35">
        <f>G214*AP214</f>
        <v>0</v>
      </c>
      <c r="L214" s="35">
        <f>G214*H214</f>
        <v>0</v>
      </c>
      <c r="M214" s="35">
        <f>L214*(1+BW214/100)</f>
        <v>0</v>
      </c>
      <c r="N214" s="35">
        <v>0</v>
      </c>
      <c r="O214" s="35">
        <f>G214*N214</f>
        <v>0</v>
      </c>
      <c r="P214" s="37" t="s">
        <v>66</v>
      </c>
      <c r="Z214" s="35">
        <f>IF(AQ214="5",BJ214,0)</f>
        <v>0</v>
      </c>
      <c r="AB214" s="35">
        <f>IF(AQ214="1",BH214,0)</f>
        <v>0</v>
      </c>
      <c r="AC214" s="35">
        <f>IF(AQ214="1",BI214,0)</f>
        <v>0</v>
      </c>
      <c r="AD214" s="35">
        <f>IF(AQ214="7",BH214,0)</f>
        <v>0</v>
      </c>
      <c r="AE214" s="35">
        <f>IF(AQ214="7",BI214,0)</f>
        <v>0</v>
      </c>
      <c r="AF214" s="35">
        <f>IF(AQ214="2",BH214,0)</f>
        <v>0</v>
      </c>
      <c r="AG214" s="35">
        <f>IF(AQ214="2",BI214,0)</f>
        <v>0</v>
      </c>
      <c r="AH214" s="35">
        <f>IF(AQ214="0",BJ214,0)</f>
        <v>0</v>
      </c>
      <c r="AI214" s="12" t="s">
        <v>350</v>
      </c>
      <c r="AJ214" s="35">
        <f>IF(AN214=0,L214,0)</f>
        <v>0</v>
      </c>
      <c r="AK214" s="35">
        <f>IF(AN214=12,L214,0)</f>
        <v>0</v>
      </c>
      <c r="AL214" s="35">
        <f>IF(AN214=21,L214,0)</f>
        <v>0</v>
      </c>
      <c r="AN214" s="35">
        <v>21</v>
      </c>
      <c r="AO214" s="35">
        <f>H214*0.018734551</f>
        <v>0</v>
      </c>
      <c r="AP214" s="35">
        <f>H214*(1-0.018734551)</f>
        <v>0</v>
      </c>
      <c r="AQ214" s="36" t="s">
        <v>70</v>
      </c>
      <c r="AV214" s="35">
        <f>AW214+AX214</f>
        <v>0</v>
      </c>
      <c r="AW214" s="35">
        <f>G214*AO214</f>
        <v>0</v>
      </c>
      <c r="AX214" s="35">
        <f>G214*AP214</f>
        <v>0</v>
      </c>
      <c r="AY214" s="36" t="s">
        <v>415</v>
      </c>
      <c r="AZ214" s="36" t="s">
        <v>358</v>
      </c>
      <c r="BA214" s="12" t="s">
        <v>359</v>
      </c>
      <c r="BC214" s="35">
        <f>AW214+AX214</f>
        <v>0</v>
      </c>
      <c r="BD214" s="35">
        <f>H214/(100-BE214)*100</f>
        <v>0</v>
      </c>
      <c r="BE214" s="35">
        <v>0</v>
      </c>
      <c r="BF214" s="35">
        <f>O214</f>
        <v>0</v>
      </c>
      <c r="BH214" s="35">
        <f>G214*AO214</f>
        <v>0</v>
      </c>
      <c r="BI214" s="35">
        <f>G214*AP214</f>
        <v>0</v>
      </c>
      <c r="BJ214" s="35">
        <f>G214*H214</f>
        <v>0</v>
      </c>
      <c r="BK214" s="35"/>
      <c r="BL214" s="35"/>
      <c r="BW214" s="35" t="str">
        <f>I214</f>
        <v>21</v>
      </c>
      <c r="BX214" s="4" t="s">
        <v>463</v>
      </c>
    </row>
    <row r="215" spans="1:76" ht="13.5" customHeight="1" x14ac:dyDescent="0.4">
      <c r="A215" s="38"/>
      <c r="C215" s="39" t="s">
        <v>73</v>
      </c>
      <c r="D215" s="94" t="s">
        <v>464</v>
      </c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6"/>
    </row>
    <row r="216" spans="1:76" ht="14.6" x14ac:dyDescent="0.4">
      <c r="A216" s="2" t="s">
        <v>465</v>
      </c>
      <c r="B216" s="3" t="s">
        <v>350</v>
      </c>
      <c r="C216" s="3" t="s">
        <v>466</v>
      </c>
      <c r="D216" s="83" t="s">
        <v>467</v>
      </c>
      <c r="E216" s="84"/>
      <c r="F216" s="3" t="s">
        <v>64</v>
      </c>
      <c r="G216" s="35">
        <v>90.5</v>
      </c>
      <c r="H216" s="82"/>
      <c r="I216" s="36" t="s">
        <v>65</v>
      </c>
      <c r="J216" s="35">
        <f>G216*AO216</f>
        <v>0</v>
      </c>
      <c r="K216" s="35">
        <f>G216*AP216</f>
        <v>0</v>
      </c>
      <c r="L216" s="35">
        <f>G216*H216</f>
        <v>0</v>
      </c>
      <c r="M216" s="35">
        <f>L216*(1+BW216/100)</f>
        <v>0</v>
      </c>
      <c r="N216" s="35">
        <v>2.0000000000000002E-5</v>
      </c>
      <c r="O216" s="35">
        <f>G216*N216</f>
        <v>1.8100000000000002E-3</v>
      </c>
      <c r="P216" s="37" t="s">
        <v>66</v>
      </c>
      <c r="Z216" s="35">
        <f>IF(AQ216="5",BJ216,0)</f>
        <v>0</v>
      </c>
      <c r="AB216" s="35">
        <f>IF(AQ216="1",BH216,0)</f>
        <v>0</v>
      </c>
      <c r="AC216" s="35">
        <f>IF(AQ216="1",BI216,0)</f>
        <v>0</v>
      </c>
      <c r="AD216" s="35">
        <f>IF(AQ216="7",BH216,0)</f>
        <v>0</v>
      </c>
      <c r="AE216" s="35">
        <f>IF(AQ216="7",BI216,0)</f>
        <v>0</v>
      </c>
      <c r="AF216" s="35">
        <f>IF(AQ216="2",BH216,0)</f>
        <v>0</v>
      </c>
      <c r="AG216" s="35">
        <f>IF(AQ216="2",BI216,0)</f>
        <v>0</v>
      </c>
      <c r="AH216" s="35">
        <f>IF(AQ216="0",BJ216,0)</f>
        <v>0</v>
      </c>
      <c r="AI216" s="12" t="s">
        <v>350</v>
      </c>
      <c r="AJ216" s="35">
        <f>IF(AN216=0,L216,0)</f>
        <v>0</v>
      </c>
      <c r="AK216" s="35">
        <f>IF(AN216=12,L216,0)</f>
        <v>0</v>
      </c>
      <c r="AL216" s="35">
        <f>IF(AN216=21,L216,0)</f>
        <v>0</v>
      </c>
      <c r="AN216" s="35">
        <v>21</v>
      </c>
      <c r="AO216" s="35">
        <f>H216*0.129009758</f>
        <v>0</v>
      </c>
      <c r="AP216" s="35">
        <f>H216*(1-0.129009758)</f>
        <v>0</v>
      </c>
      <c r="AQ216" s="36" t="s">
        <v>70</v>
      </c>
      <c r="AV216" s="35">
        <f>AW216+AX216</f>
        <v>0</v>
      </c>
      <c r="AW216" s="35">
        <f>G216*AO216</f>
        <v>0</v>
      </c>
      <c r="AX216" s="35">
        <f>G216*AP216</f>
        <v>0</v>
      </c>
      <c r="AY216" s="36" t="s">
        <v>415</v>
      </c>
      <c r="AZ216" s="36" t="s">
        <v>358</v>
      </c>
      <c r="BA216" s="12" t="s">
        <v>359</v>
      </c>
      <c r="BC216" s="35">
        <f>AW216+AX216</f>
        <v>0</v>
      </c>
      <c r="BD216" s="35">
        <f>H216/(100-BE216)*100</f>
        <v>0</v>
      </c>
      <c r="BE216" s="35">
        <v>0</v>
      </c>
      <c r="BF216" s="35">
        <f>O216</f>
        <v>1.8100000000000002E-3</v>
      </c>
      <c r="BH216" s="35">
        <f>G216*AO216</f>
        <v>0</v>
      </c>
      <c r="BI216" s="35">
        <f>G216*AP216</f>
        <v>0</v>
      </c>
      <c r="BJ216" s="35">
        <f>G216*H216</f>
        <v>0</v>
      </c>
      <c r="BK216" s="35"/>
      <c r="BL216" s="35"/>
      <c r="BW216" s="35" t="str">
        <f>I216</f>
        <v>21</v>
      </c>
      <c r="BX216" s="4" t="s">
        <v>467</v>
      </c>
    </row>
    <row r="217" spans="1:76" ht="13.5" customHeight="1" x14ac:dyDescent="0.4">
      <c r="A217" s="38"/>
      <c r="C217" s="39" t="s">
        <v>73</v>
      </c>
      <c r="D217" s="94" t="s">
        <v>468</v>
      </c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6"/>
    </row>
    <row r="218" spans="1:76" ht="14.6" x14ac:dyDescent="0.4">
      <c r="A218" s="38"/>
      <c r="D218" s="40" t="s">
        <v>469</v>
      </c>
      <c r="E218" s="41" t="s">
        <v>56</v>
      </c>
      <c r="G218" s="42">
        <v>90.5</v>
      </c>
      <c r="P218" s="43"/>
    </row>
    <row r="219" spans="1:76" ht="14.6" x14ac:dyDescent="0.4">
      <c r="A219" s="2" t="s">
        <v>470</v>
      </c>
      <c r="B219" s="3" t="s">
        <v>350</v>
      </c>
      <c r="C219" s="3" t="s">
        <v>471</v>
      </c>
      <c r="D219" s="83" t="s">
        <v>472</v>
      </c>
      <c r="E219" s="84"/>
      <c r="F219" s="3" t="s">
        <v>64</v>
      </c>
      <c r="G219" s="35">
        <v>90.5</v>
      </c>
      <c r="H219" s="82"/>
      <c r="I219" s="36" t="s">
        <v>65</v>
      </c>
      <c r="J219" s="35">
        <f>G219*AO219</f>
        <v>0</v>
      </c>
      <c r="K219" s="35">
        <f>G219*AP219</f>
        <v>0</v>
      </c>
      <c r="L219" s="35">
        <f>G219*H219</f>
        <v>0</v>
      </c>
      <c r="M219" s="35">
        <f>L219*(1+BW219/100)</f>
        <v>0</v>
      </c>
      <c r="N219" s="35">
        <v>0</v>
      </c>
      <c r="O219" s="35">
        <f>G219*N219</f>
        <v>0</v>
      </c>
      <c r="P219" s="37" t="s">
        <v>66</v>
      </c>
      <c r="Z219" s="35">
        <f>IF(AQ219="5",BJ219,0)</f>
        <v>0</v>
      </c>
      <c r="AB219" s="35">
        <f>IF(AQ219="1",BH219,0)</f>
        <v>0</v>
      </c>
      <c r="AC219" s="35">
        <f>IF(AQ219="1",BI219,0)</f>
        <v>0</v>
      </c>
      <c r="AD219" s="35">
        <f>IF(AQ219="7",BH219,0)</f>
        <v>0</v>
      </c>
      <c r="AE219" s="35">
        <f>IF(AQ219="7",BI219,0)</f>
        <v>0</v>
      </c>
      <c r="AF219" s="35">
        <f>IF(AQ219="2",BH219,0)</f>
        <v>0</v>
      </c>
      <c r="AG219" s="35">
        <f>IF(AQ219="2",BI219,0)</f>
        <v>0</v>
      </c>
      <c r="AH219" s="35">
        <f>IF(AQ219="0",BJ219,0)</f>
        <v>0</v>
      </c>
      <c r="AI219" s="12" t="s">
        <v>350</v>
      </c>
      <c r="AJ219" s="35">
        <f>IF(AN219=0,L219,0)</f>
        <v>0</v>
      </c>
      <c r="AK219" s="35">
        <f>IF(AN219=12,L219,0)</f>
        <v>0</v>
      </c>
      <c r="AL219" s="35">
        <f>IF(AN219=21,L219,0)</f>
        <v>0</v>
      </c>
      <c r="AN219" s="35">
        <v>21</v>
      </c>
      <c r="AO219" s="35">
        <f>H219*0</f>
        <v>0</v>
      </c>
      <c r="AP219" s="35">
        <f>H219*(1-0)</f>
        <v>0</v>
      </c>
      <c r="AQ219" s="36" t="s">
        <v>70</v>
      </c>
      <c r="AV219" s="35">
        <f>AW219+AX219</f>
        <v>0</v>
      </c>
      <c r="AW219" s="35">
        <f>G219*AO219</f>
        <v>0</v>
      </c>
      <c r="AX219" s="35">
        <f>G219*AP219</f>
        <v>0</v>
      </c>
      <c r="AY219" s="36" t="s">
        <v>415</v>
      </c>
      <c r="AZ219" s="36" t="s">
        <v>358</v>
      </c>
      <c r="BA219" s="12" t="s">
        <v>359</v>
      </c>
      <c r="BC219" s="35">
        <f>AW219+AX219</f>
        <v>0</v>
      </c>
      <c r="BD219" s="35">
        <f>H219/(100-BE219)*100</f>
        <v>0</v>
      </c>
      <c r="BE219" s="35">
        <v>0</v>
      </c>
      <c r="BF219" s="35">
        <f>O219</f>
        <v>0</v>
      </c>
      <c r="BH219" s="35">
        <f>G219*AO219</f>
        <v>0</v>
      </c>
      <c r="BI219" s="35">
        <f>G219*AP219</f>
        <v>0</v>
      </c>
      <c r="BJ219" s="35">
        <f>G219*H219</f>
        <v>0</v>
      </c>
      <c r="BK219" s="35"/>
      <c r="BL219" s="35"/>
      <c r="BW219" s="35" t="str">
        <f>I219</f>
        <v>21</v>
      </c>
      <c r="BX219" s="4" t="s">
        <v>472</v>
      </c>
    </row>
    <row r="220" spans="1:76" ht="13.5" customHeight="1" x14ac:dyDescent="0.4">
      <c r="A220" s="38"/>
      <c r="C220" s="39" t="s">
        <v>73</v>
      </c>
      <c r="D220" s="94" t="s">
        <v>473</v>
      </c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6"/>
    </row>
    <row r="221" spans="1:76" ht="14.6" x14ac:dyDescent="0.4">
      <c r="A221" s="31" t="s">
        <v>56</v>
      </c>
      <c r="B221" s="32" t="s">
        <v>350</v>
      </c>
      <c r="C221" s="32" t="s">
        <v>474</v>
      </c>
      <c r="D221" s="92" t="s">
        <v>475</v>
      </c>
      <c r="E221" s="93"/>
      <c r="F221" s="33" t="s">
        <v>4</v>
      </c>
      <c r="G221" s="33" t="s">
        <v>4</v>
      </c>
      <c r="H221" s="33" t="s">
        <v>4</v>
      </c>
      <c r="I221" s="33" t="s">
        <v>4</v>
      </c>
      <c r="J221" s="1">
        <f>SUM(J222:J235)</f>
        <v>0</v>
      </c>
      <c r="K221" s="1">
        <f>SUM(K222:K235)</f>
        <v>0</v>
      </c>
      <c r="L221" s="1">
        <f>SUM(L222:L235)</f>
        <v>0</v>
      </c>
      <c r="M221" s="1">
        <f>SUM(M222:M235)</f>
        <v>0</v>
      </c>
      <c r="N221" s="12" t="s">
        <v>56</v>
      </c>
      <c r="O221" s="1">
        <f>SUM(O222:O235)</f>
        <v>0.20498999999999998</v>
      </c>
      <c r="P221" s="34" t="s">
        <v>56</v>
      </c>
      <c r="AI221" s="12" t="s">
        <v>350</v>
      </c>
      <c r="AS221" s="1">
        <f>SUM(AJ222:AJ235)</f>
        <v>0</v>
      </c>
      <c r="AT221" s="1">
        <f>SUM(AK222:AK235)</f>
        <v>0</v>
      </c>
      <c r="AU221" s="1">
        <f>SUM(AL222:AL235)</f>
        <v>0</v>
      </c>
    </row>
    <row r="222" spans="1:76" ht="14.6" x14ac:dyDescent="0.4">
      <c r="A222" s="2" t="s">
        <v>476</v>
      </c>
      <c r="B222" s="3" t="s">
        <v>350</v>
      </c>
      <c r="C222" s="3" t="s">
        <v>477</v>
      </c>
      <c r="D222" s="83" t="s">
        <v>478</v>
      </c>
      <c r="E222" s="84"/>
      <c r="F222" s="3" t="s">
        <v>228</v>
      </c>
      <c r="G222" s="35">
        <v>6</v>
      </c>
      <c r="H222" s="82"/>
      <c r="I222" s="36" t="s">
        <v>65</v>
      </c>
      <c r="J222" s="35">
        <f>G222*AO222</f>
        <v>0</v>
      </c>
      <c r="K222" s="35">
        <f>G222*AP222</f>
        <v>0</v>
      </c>
      <c r="L222" s="35">
        <f>G222*H222</f>
        <v>0</v>
      </c>
      <c r="M222" s="35">
        <f>L222*(1+BW222/100)</f>
        <v>0</v>
      </c>
      <c r="N222" s="35">
        <v>0</v>
      </c>
      <c r="O222" s="35">
        <f>G222*N222</f>
        <v>0</v>
      </c>
      <c r="P222" s="37" t="s">
        <v>66</v>
      </c>
      <c r="Z222" s="35">
        <f>IF(AQ222="5",BJ222,0)</f>
        <v>0</v>
      </c>
      <c r="AB222" s="35">
        <f>IF(AQ222="1",BH222,0)</f>
        <v>0</v>
      </c>
      <c r="AC222" s="35">
        <f>IF(AQ222="1",BI222,0)</f>
        <v>0</v>
      </c>
      <c r="AD222" s="35">
        <f>IF(AQ222="7",BH222,0)</f>
        <v>0</v>
      </c>
      <c r="AE222" s="35">
        <f>IF(AQ222="7",BI222,0)</f>
        <v>0</v>
      </c>
      <c r="AF222" s="35">
        <f>IF(AQ222="2",BH222,0)</f>
        <v>0</v>
      </c>
      <c r="AG222" s="35">
        <f>IF(AQ222="2",BI222,0)</f>
        <v>0</v>
      </c>
      <c r="AH222" s="35">
        <f>IF(AQ222="0",BJ222,0)</f>
        <v>0</v>
      </c>
      <c r="AI222" s="12" t="s">
        <v>350</v>
      </c>
      <c r="AJ222" s="35">
        <f>IF(AN222=0,L222,0)</f>
        <v>0</v>
      </c>
      <c r="AK222" s="35">
        <f>IF(AN222=12,L222,0)</f>
        <v>0</v>
      </c>
      <c r="AL222" s="35">
        <f>IF(AN222=21,L222,0)</f>
        <v>0</v>
      </c>
      <c r="AN222" s="35">
        <v>21</v>
      </c>
      <c r="AO222" s="35">
        <f>H222*0</f>
        <v>0</v>
      </c>
      <c r="AP222" s="35">
        <f>H222*(1-0)</f>
        <v>0</v>
      </c>
      <c r="AQ222" s="36" t="s">
        <v>70</v>
      </c>
      <c r="AV222" s="35">
        <f>AW222+AX222</f>
        <v>0</v>
      </c>
      <c r="AW222" s="35">
        <f>G222*AO222</f>
        <v>0</v>
      </c>
      <c r="AX222" s="35">
        <f>G222*AP222</f>
        <v>0</v>
      </c>
      <c r="AY222" s="36" t="s">
        <v>479</v>
      </c>
      <c r="AZ222" s="36" t="s">
        <v>358</v>
      </c>
      <c r="BA222" s="12" t="s">
        <v>359</v>
      </c>
      <c r="BC222" s="35">
        <f>AW222+AX222</f>
        <v>0</v>
      </c>
      <c r="BD222" s="35">
        <f>H222/(100-BE222)*100</f>
        <v>0</v>
      </c>
      <c r="BE222" s="35">
        <v>0</v>
      </c>
      <c r="BF222" s="35">
        <f>O222</f>
        <v>0</v>
      </c>
      <c r="BH222" s="35">
        <f>G222*AO222</f>
        <v>0</v>
      </c>
      <c r="BI222" s="35">
        <f>G222*AP222</f>
        <v>0</v>
      </c>
      <c r="BJ222" s="35">
        <f>G222*H222</f>
        <v>0</v>
      </c>
      <c r="BK222" s="35"/>
      <c r="BL222" s="35"/>
      <c r="BW222" s="35" t="str">
        <f>I222</f>
        <v>21</v>
      </c>
      <c r="BX222" s="4" t="s">
        <v>478</v>
      </c>
    </row>
    <row r="223" spans="1:76" ht="13.5" customHeight="1" x14ac:dyDescent="0.4">
      <c r="A223" s="38"/>
      <c r="C223" s="39" t="s">
        <v>73</v>
      </c>
      <c r="D223" s="94" t="s">
        <v>480</v>
      </c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6"/>
    </row>
    <row r="224" spans="1:76" ht="14.6" x14ac:dyDescent="0.4">
      <c r="A224" s="2" t="s">
        <v>481</v>
      </c>
      <c r="B224" s="3" t="s">
        <v>350</v>
      </c>
      <c r="C224" s="3" t="s">
        <v>482</v>
      </c>
      <c r="D224" s="83" t="s">
        <v>483</v>
      </c>
      <c r="E224" s="84"/>
      <c r="F224" s="3" t="s">
        <v>94</v>
      </c>
      <c r="G224" s="35">
        <v>181</v>
      </c>
      <c r="H224" s="82"/>
      <c r="I224" s="36" t="s">
        <v>65</v>
      </c>
      <c r="J224" s="35">
        <f>G224*AO224</f>
        <v>0</v>
      </c>
      <c r="K224" s="35">
        <f>G224*AP224</f>
        <v>0</v>
      </c>
      <c r="L224" s="35">
        <f>G224*H224</f>
        <v>0</v>
      </c>
      <c r="M224" s="35">
        <f>L224*(1+BW224/100)</f>
        <v>0</v>
      </c>
      <c r="N224" s="35">
        <v>9.8999999999999999E-4</v>
      </c>
      <c r="O224" s="35">
        <f>G224*N224</f>
        <v>0.17918999999999999</v>
      </c>
      <c r="P224" s="37" t="s">
        <v>66</v>
      </c>
      <c r="Z224" s="35">
        <f>IF(AQ224="5",BJ224,0)</f>
        <v>0</v>
      </c>
      <c r="AB224" s="35">
        <f>IF(AQ224="1",BH224,0)</f>
        <v>0</v>
      </c>
      <c r="AC224" s="35">
        <f>IF(AQ224="1",BI224,0)</f>
        <v>0</v>
      </c>
      <c r="AD224" s="35">
        <f>IF(AQ224="7",BH224,0)</f>
        <v>0</v>
      </c>
      <c r="AE224" s="35">
        <f>IF(AQ224="7",BI224,0)</f>
        <v>0</v>
      </c>
      <c r="AF224" s="35">
        <f>IF(AQ224="2",BH224,0)</f>
        <v>0</v>
      </c>
      <c r="AG224" s="35">
        <f>IF(AQ224="2",BI224,0)</f>
        <v>0</v>
      </c>
      <c r="AH224" s="35">
        <f>IF(AQ224="0",BJ224,0)</f>
        <v>0</v>
      </c>
      <c r="AI224" s="12" t="s">
        <v>350</v>
      </c>
      <c r="AJ224" s="35">
        <f>IF(AN224=0,L224,0)</f>
        <v>0</v>
      </c>
      <c r="AK224" s="35">
        <f>IF(AN224=12,L224,0)</f>
        <v>0</v>
      </c>
      <c r="AL224" s="35">
        <f>IF(AN224=21,L224,0)</f>
        <v>0</v>
      </c>
      <c r="AN224" s="35">
        <v>21</v>
      </c>
      <c r="AO224" s="35">
        <f>H224*0.379004525</f>
        <v>0</v>
      </c>
      <c r="AP224" s="35">
        <f>H224*(1-0.379004525)</f>
        <v>0</v>
      </c>
      <c r="AQ224" s="36" t="s">
        <v>70</v>
      </c>
      <c r="AV224" s="35">
        <f>AW224+AX224</f>
        <v>0</v>
      </c>
      <c r="AW224" s="35">
        <f>G224*AO224</f>
        <v>0</v>
      </c>
      <c r="AX224" s="35">
        <f>G224*AP224</f>
        <v>0</v>
      </c>
      <c r="AY224" s="36" t="s">
        <v>479</v>
      </c>
      <c r="AZ224" s="36" t="s">
        <v>358</v>
      </c>
      <c r="BA224" s="12" t="s">
        <v>359</v>
      </c>
      <c r="BC224" s="35">
        <f>AW224+AX224</f>
        <v>0</v>
      </c>
      <c r="BD224" s="35">
        <f>H224/(100-BE224)*100</f>
        <v>0</v>
      </c>
      <c r="BE224" s="35">
        <v>0</v>
      </c>
      <c r="BF224" s="35">
        <f>O224</f>
        <v>0.17918999999999999</v>
      </c>
      <c r="BH224" s="35">
        <f>G224*AO224</f>
        <v>0</v>
      </c>
      <c r="BI224" s="35">
        <f>G224*AP224</f>
        <v>0</v>
      </c>
      <c r="BJ224" s="35">
        <f>G224*H224</f>
        <v>0</v>
      </c>
      <c r="BK224" s="35"/>
      <c r="BL224" s="35"/>
      <c r="BW224" s="35" t="str">
        <f>I224</f>
        <v>21</v>
      </c>
      <c r="BX224" s="4" t="s">
        <v>483</v>
      </c>
    </row>
    <row r="225" spans="1:76" ht="13.5" customHeight="1" x14ac:dyDescent="0.4">
      <c r="A225" s="38"/>
      <c r="C225" s="39" t="s">
        <v>73</v>
      </c>
      <c r="D225" s="94" t="s">
        <v>484</v>
      </c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6"/>
    </row>
    <row r="226" spans="1:76" ht="14.6" x14ac:dyDescent="0.4">
      <c r="A226" s="2" t="s">
        <v>485</v>
      </c>
      <c r="B226" s="3" t="s">
        <v>350</v>
      </c>
      <c r="C226" s="3" t="s">
        <v>486</v>
      </c>
      <c r="D226" s="83" t="s">
        <v>487</v>
      </c>
      <c r="E226" s="84"/>
      <c r="F226" s="3" t="s">
        <v>94</v>
      </c>
      <c r="G226" s="35">
        <v>18</v>
      </c>
      <c r="H226" s="82"/>
      <c r="I226" s="36" t="s">
        <v>65</v>
      </c>
      <c r="J226" s="35">
        <f>G226*AO226</f>
        <v>0</v>
      </c>
      <c r="K226" s="35">
        <f>G226*AP226</f>
        <v>0</v>
      </c>
      <c r="L226" s="35">
        <f>G226*H226</f>
        <v>0</v>
      </c>
      <c r="M226" s="35">
        <f>L226*(1+BW226/100)</f>
        <v>0</v>
      </c>
      <c r="N226" s="35">
        <v>1.0499999999999999E-3</v>
      </c>
      <c r="O226" s="35">
        <f>G226*N226</f>
        <v>1.89E-2</v>
      </c>
      <c r="P226" s="37" t="s">
        <v>66</v>
      </c>
      <c r="Z226" s="35">
        <f>IF(AQ226="5",BJ226,0)</f>
        <v>0</v>
      </c>
      <c r="AB226" s="35">
        <f>IF(AQ226="1",BH226,0)</f>
        <v>0</v>
      </c>
      <c r="AC226" s="35">
        <f>IF(AQ226="1",BI226,0)</f>
        <v>0</v>
      </c>
      <c r="AD226" s="35">
        <f>IF(AQ226="7",BH226,0)</f>
        <v>0</v>
      </c>
      <c r="AE226" s="35">
        <f>IF(AQ226="7",BI226,0)</f>
        <v>0</v>
      </c>
      <c r="AF226" s="35">
        <f>IF(AQ226="2",BH226,0)</f>
        <v>0</v>
      </c>
      <c r="AG226" s="35">
        <f>IF(AQ226="2",BI226,0)</f>
        <v>0</v>
      </c>
      <c r="AH226" s="35">
        <f>IF(AQ226="0",BJ226,0)</f>
        <v>0</v>
      </c>
      <c r="AI226" s="12" t="s">
        <v>350</v>
      </c>
      <c r="AJ226" s="35">
        <f>IF(AN226=0,L226,0)</f>
        <v>0</v>
      </c>
      <c r="AK226" s="35">
        <f>IF(AN226=12,L226,0)</f>
        <v>0</v>
      </c>
      <c r="AL226" s="35">
        <f>IF(AN226=21,L226,0)</f>
        <v>0</v>
      </c>
      <c r="AN226" s="35">
        <v>21</v>
      </c>
      <c r="AO226" s="35">
        <f>H226*0.387959866</f>
        <v>0</v>
      </c>
      <c r="AP226" s="35">
        <f>H226*(1-0.387959866)</f>
        <v>0</v>
      </c>
      <c r="AQ226" s="36" t="s">
        <v>70</v>
      </c>
      <c r="AV226" s="35">
        <f>AW226+AX226</f>
        <v>0</v>
      </c>
      <c r="AW226" s="35">
        <f>G226*AO226</f>
        <v>0</v>
      </c>
      <c r="AX226" s="35">
        <f>G226*AP226</f>
        <v>0</v>
      </c>
      <c r="AY226" s="36" t="s">
        <v>479</v>
      </c>
      <c r="AZ226" s="36" t="s">
        <v>358</v>
      </c>
      <c r="BA226" s="12" t="s">
        <v>359</v>
      </c>
      <c r="BC226" s="35">
        <f>AW226+AX226</f>
        <v>0</v>
      </c>
      <c r="BD226" s="35">
        <f>H226/(100-BE226)*100</f>
        <v>0</v>
      </c>
      <c r="BE226" s="35">
        <v>0</v>
      </c>
      <c r="BF226" s="35">
        <f>O226</f>
        <v>1.89E-2</v>
      </c>
      <c r="BH226" s="35">
        <f>G226*AO226</f>
        <v>0</v>
      </c>
      <c r="BI226" s="35">
        <f>G226*AP226</f>
        <v>0</v>
      </c>
      <c r="BJ226" s="35">
        <f>G226*H226</f>
        <v>0</v>
      </c>
      <c r="BK226" s="35"/>
      <c r="BL226" s="35"/>
      <c r="BW226" s="35" t="str">
        <f>I226</f>
        <v>21</v>
      </c>
      <c r="BX226" s="4" t="s">
        <v>487</v>
      </c>
    </row>
    <row r="227" spans="1:76" ht="13.5" customHeight="1" x14ac:dyDescent="0.4">
      <c r="A227" s="38"/>
      <c r="C227" s="39" t="s">
        <v>73</v>
      </c>
      <c r="D227" s="94" t="s">
        <v>488</v>
      </c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6"/>
    </row>
    <row r="228" spans="1:76" ht="14.6" x14ac:dyDescent="0.4">
      <c r="A228" s="38"/>
      <c r="D228" s="40" t="s">
        <v>489</v>
      </c>
      <c r="E228" s="41" t="s">
        <v>56</v>
      </c>
      <c r="G228" s="42">
        <v>18</v>
      </c>
      <c r="P228" s="43"/>
    </row>
    <row r="229" spans="1:76" ht="14.6" x14ac:dyDescent="0.4">
      <c r="A229" s="2" t="s">
        <v>223</v>
      </c>
      <c r="B229" s="3" t="s">
        <v>350</v>
      </c>
      <c r="C229" s="3" t="s">
        <v>490</v>
      </c>
      <c r="D229" s="83" t="s">
        <v>491</v>
      </c>
      <c r="E229" s="84"/>
      <c r="F229" s="3" t="s">
        <v>228</v>
      </c>
      <c r="G229" s="35">
        <v>12</v>
      </c>
      <c r="H229" s="82"/>
      <c r="I229" s="36" t="s">
        <v>65</v>
      </c>
      <c r="J229" s="35">
        <f>G229*AO229</f>
        <v>0</v>
      </c>
      <c r="K229" s="35">
        <f>G229*AP229</f>
        <v>0</v>
      </c>
      <c r="L229" s="35">
        <f>G229*H229</f>
        <v>0</v>
      </c>
      <c r="M229" s="35">
        <f>L229*(1+BW229/100)</f>
        <v>0</v>
      </c>
      <c r="N229" s="35">
        <v>2.9999999999999997E-4</v>
      </c>
      <c r="O229" s="35">
        <f>G229*N229</f>
        <v>3.5999999999999999E-3</v>
      </c>
      <c r="P229" s="37" t="s">
        <v>66</v>
      </c>
      <c r="Z229" s="35">
        <f>IF(AQ229="5",BJ229,0)</f>
        <v>0</v>
      </c>
      <c r="AB229" s="35">
        <f>IF(AQ229="1",BH229,0)</f>
        <v>0</v>
      </c>
      <c r="AC229" s="35">
        <f>IF(AQ229="1",BI229,0)</f>
        <v>0</v>
      </c>
      <c r="AD229" s="35">
        <f>IF(AQ229="7",BH229,0)</f>
        <v>0</v>
      </c>
      <c r="AE229" s="35">
        <f>IF(AQ229="7",BI229,0)</f>
        <v>0</v>
      </c>
      <c r="AF229" s="35">
        <f>IF(AQ229="2",BH229,0)</f>
        <v>0</v>
      </c>
      <c r="AG229" s="35">
        <f>IF(AQ229="2",BI229,0)</f>
        <v>0</v>
      </c>
      <c r="AH229" s="35">
        <f>IF(AQ229="0",BJ229,0)</f>
        <v>0</v>
      </c>
      <c r="AI229" s="12" t="s">
        <v>350</v>
      </c>
      <c r="AJ229" s="35">
        <f>IF(AN229=0,L229,0)</f>
        <v>0</v>
      </c>
      <c r="AK229" s="35">
        <f>IF(AN229=12,L229,0)</f>
        <v>0</v>
      </c>
      <c r="AL229" s="35">
        <f>IF(AN229=21,L229,0)</f>
        <v>0</v>
      </c>
      <c r="AN229" s="35">
        <v>21</v>
      </c>
      <c r="AO229" s="35">
        <f>H229*0.245970568</f>
        <v>0</v>
      </c>
      <c r="AP229" s="35">
        <f>H229*(1-0.245970568)</f>
        <v>0</v>
      </c>
      <c r="AQ229" s="36" t="s">
        <v>70</v>
      </c>
      <c r="AV229" s="35">
        <f>AW229+AX229</f>
        <v>0</v>
      </c>
      <c r="AW229" s="35">
        <f>G229*AO229</f>
        <v>0</v>
      </c>
      <c r="AX229" s="35">
        <f>G229*AP229</f>
        <v>0</v>
      </c>
      <c r="AY229" s="36" t="s">
        <v>479</v>
      </c>
      <c r="AZ229" s="36" t="s">
        <v>358</v>
      </c>
      <c r="BA229" s="12" t="s">
        <v>359</v>
      </c>
      <c r="BC229" s="35">
        <f>AW229+AX229</f>
        <v>0</v>
      </c>
      <c r="BD229" s="35">
        <f>H229/(100-BE229)*100</f>
        <v>0</v>
      </c>
      <c r="BE229" s="35">
        <v>0</v>
      </c>
      <c r="BF229" s="35">
        <f>O229</f>
        <v>3.5999999999999999E-3</v>
      </c>
      <c r="BH229" s="35">
        <f>G229*AO229</f>
        <v>0</v>
      </c>
      <c r="BI229" s="35">
        <f>G229*AP229</f>
        <v>0</v>
      </c>
      <c r="BJ229" s="35">
        <f>G229*H229</f>
        <v>0</v>
      </c>
      <c r="BK229" s="35"/>
      <c r="BL229" s="35"/>
      <c r="BW229" s="35" t="str">
        <f>I229</f>
        <v>21</v>
      </c>
      <c r="BX229" s="4" t="s">
        <v>491</v>
      </c>
    </row>
    <row r="230" spans="1:76" ht="13.5" customHeight="1" x14ac:dyDescent="0.4">
      <c r="A230" s="38"/>
      <c r="C230" s="39" t="s">
        <v>73</v>
      </c>
      <c r="D230" s="94" t="s">
        <v>492</v>
      </c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6"/>
    </row>
    <row r="231" spans="1:76" ht="14.6" x14ac:dyDescent="0.4">
      <c r="A231" s="2" t="s">
        <v>352</v>
      </c>
      <c r="B231" s="3" t="s">
        <v>350</v>
      </c>
      <c r="C231" s="3" t="s">
        <v>493</v>
      </c>
      <c r="D231" s="83" t="s">
        <v>494</v>
      </c>
      <c r="E231" s="84"/>
      <c r="F231" s="3" t="s">
        <v>228</v>
      </c>
      <c r="G231" s="35">
        <v>12</v>
      </c>
      <c r="H231" s="82"/>
      <c r="I231" s="36" t="s">
        <v>65</v>
      </c>
      <c r="J231" s="35">
        <f>G231*AO231</f>
        <v>0</v>
      </c>
      <c r="K231" s="35">
        <f>G231*AP231</f>
        <v>0</v>
      </c>
      <c r="L231" s="35">
        <f>G231*H231</f>
        <v>0</v>
      </c>
      <c r="M231" s="35">
        <f>L231*(1+BW231/100)</f>
        <v>0</v>
      </c>
      <c r="N231" s="35">
        <v>2.1000000000000001E-4</v>
      </c>
      <c r="O231" s="35">
        <f>G231*N231</f>
        <v>2.5200000000000001E-3</v>
      </c>
      <c r="P231" s="37" t="s">
        <v>66</v>
      </c>
      <c r="Z231" s="35">
        <f>IF(AQ231="5",BJ231,0)</f>
        <v>0</v>
      </c>
      <c r="AB231" s="35">
        <f>IF(AQ231="1",BH231,0)</f>
        <v>0</v>
      </c>
      <c r="AC231" s="35">
        <f>IF(AQ231="1",BI231,0)</f>
        <v>0</v>
      </c>
      <c r="AD231" s="35">
        <f>IF(AQ231="7",BH231,0)</f>
        <v>0</v>
      </c>
      <c r="AE231" s="35">
        <f>IF(AQ231="7",BI231,0)</f>
        <v>0</v>
      </c>
      <c r="AF231" s="35">
        <f>IF(AQ231="2",BH231,0)</f>
        <v>0</v>
      </c>
      <c r="AG231" s="35">
        <f>IF(AQ231="2",BI231,0)</f>
        <v>0</v>
      </c>
      <c r="AH231" s="35">
        <f>IF(AQ231="0",BJ231,0)</f>
        <v>0</v>
      </c>
      <c r="AI231" s="12" t="s">
        <v>350</v>
      </c>
      <c r="AJ231" s="35">
        <f>IF(AN231=0,L231,0)</f>
        <v>0</v>
      </c>
      <c r="AK231" s="35">
        <f>IF(AN231=12,L231,0)</f>
        <v>0</v>
      </c>
      <c r="AL231" s="35">
        <f>IF(AN231=21,L231,0)</f>
        <v>0</v>
      </c>
      <c r="AN231" s="35">
        <v>21</v>
      </c>
      <c r="AO231" s="35">
        <f>H231*0.146596195</f>
        <v>0</v>
      </c>
      <c r="AP231" s="35">
        <f>H231*(1-0.146596195)</f>
        <v>0</v>
      </c>
      <c r="AQ231" s="36" t="s">
        <v>70</v>
      </c>
      <c r="AV231" s="35">
        <f>AW231+AX231</f>
        <v>0</v>
      </c>
      <c r="AW231" s="35">
        <f>G231*AO231</f>
        <v>0</v>
      </c>
      <c r="AX231" s="35">
        <f>G231*AP231</f>
        <v>0</v>
      </c>
      <c r="AY231" s="36" t="s">
        <v>479</v>
      </c>
      <c r="AZ231" s="36" t="s">
        <v>358</v>
      </c>
      <c r="BA231" s="12" t="s">
        <v>359</v>
      </c>
      <c r="BC231" s="35">
        <f>AW231+AX231</f>
        <v>0</v>
      </c>
      <c r="BD231" s="35">
        <f>H231/(100-BE231)*100</f>
        <v>0</v>
      </c>
      <c r="BE231" s="35">
        <v>0</v>
      </c>
      <c r="BF231" s="35">
        <f>O231</f>
        <v>2.5200000000000001E-3</v>
      </c>
      <c r="BH231" s="35">
        <f>G231*AO231</f>
        <v>0</v>
      </c>
      <c r="BI231" s="35">
        <f>G231*AP231</f>
        <v>0</v>
      </c>
      <c r="BJ231" s="35">
        <f>G231*H231</f>
        <v>0</v>
      </c>
      <c r="BK231" s="35"/>
      <c r="BL231" s="35"/>
      <c r="BW231" s="35" t="str">
        <f>I231</f>
        <v>21</v>
      </c>
      <c r="BX231" s="4" t="s">
        <v>494</v>
      </c>
    </row>
    <row r="232" spans="1:76" ht="13.5" customHeight="1" x14ac:dyDescent="0.4">
      <c r="A232" s="38"/>
      <c r="C232" s="39" t="s">
        <v>73</v>
      </c>
      <c r="D232" s="94" t="s">
        <v>495</v>
      </c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6"/>
    </row>
    <row r="233" spans="1:76" ht="14.6" x14ac:dyDescent="0.4">
      <c r="A233" s="2" t="s">
        <v>234</v>
      </c>
      <c r="B233" s="3" t="s">
        <v>350</v>
      </c>
      <c r="C233" s="3" t="s">
        <v>496</v>
      </c>
      <c r="D233" s="83" t="s">
        <v>494</v>
      </c>
      <c r="E233" s="84"/>
      <c r="F233" s="3" t="s">
        <v>228</v>
      </c>
      <c r="G233" s="35">
        <v>6</v>
      </c>
      <c r="H233" s="82"/>
      <c r="I233" s="36" t="s">
        <v>65</v>
      </c>
      <c r="J233" s="35">
        <f>G233*AO233</f>
        <v>0</v>
      </c>
      <c r="K233" s="35">
        <f>G233*AP233</f>
        <v>0</v>
      </c>
      <c r="L233" s="35">
        <f>G233*H233</f>
        <v>0</v>
      </c>
      <c r="M233" s="35">
        <f>L233*(1+BW233/100)</f>
        <v>0</v>
      </c>
      <c r="N233" s="35">
        <v>1.2999999999999999E-4</v>
      </c>
      <c r="O233" s="35">
        <f>G233*N233</f>
        <v>7.7999999999999988E-4</v>
      </c>
      <c r="P233" s="37" t="s">
        <v>66</v>
      </c>
      <c r="Z233" s="35">
        <f>IF(AQ233="5",BJ233,0)</f>
        <v>0</v>
      </c>
      <c r="AB233" s="35">
        <f>IF(AQ233="1",BH233,0)</f>
        <v>0</v>
      </c>
      <c r="AC233" s="35">
        <f>IF(AQ233="1",BI233,0)</f>
        <v>0</v>
      </c>
      <c r="AD233" s="35">
        <f>IF(AQ233="7",BH233,0)</f>
        <v>0</v>
      </c>
      <c r="AE233" s="35">
        <f>IF(AQ233="7",BI233,0)</f>
        <v>0</v>
      </c>
      <c r="AF233" s="35">
        <f>IF(AQ233="2",BH233,0)</f>
        <v>0</v>
      </c>
      <c r="AG233" s="35">
        <f>IF(AQ233="2",BI233,0)</f>
        <v>0</v>
      </c>
      <c r="AH233" s="35">
        <f>IF(AQ233="0",BJ233,0)</f>
        <v>0</v>
      </c>
      <c r="AI233" s="12" t="s">
        <v>350</v>
      </c>
      <c r="AJ233" s="35">
        <f>IF(AN233=0,L233,0)</f>
        <v>0</v>
      </c>
      <c r="AK233" s="35">
        <f>IF(AN233=12,L233,0)</f>
        <v>0</v>
      </c>
      <c r="AL233" s="35">
        <f>IF(AN233=21,L233,0)</f>
        <v>0</v>
      </c>
      <c r="AN233" s="35">
        <v>21</v>
      </c>
      <c r="AO233" s="35">
        <f>H233*0.096689038</f>
        <v>0</v>
      </c>
      <c r="AP233" s="35">
        <f>H233*(1-0.096689038)</f>
        <v>0</v>
      </c>
      <c r="AQ233" s="36" t="s">
        <v>70</v>
      </c>
      <c r="AV233" s="35">
        <f>AW233+AX233</f>
        <v>0</v>
      </c>
      <c r="AW233" s="35">
        <f>G233*AO233</f>
        <v>0</v>
      </c>
      <c r="AX233" s="35">
        <f>G233*AP233</f>
        <v>0</v>
      </c>
      <c r="AY233" s="36" t="s">
        <v>479</v>
      </c>
      <c r="AZ233" s="36" t="s">
        <v>358</v>
      </c>
      <c r="BA233" s="12" t="s">
        <v>359</v>
      </c>
      <c r="BC233" s="35">
        <f>AW233+AX233</f>
        <v>0</v>
      </c>
      <c r="BD233" s="35">
        <f>H233/(100-BE233)*100</f>
        <v>0</v>
      </c>
      <c r="BE233" s="35">
        <v>0</v>
      </c>
      <c r="BF233" s="35">
        <f>O233</f>
        <v>7.7999999999999988E-4</v>
      </c>
      <c r="BH233" s="35">
        <f>G233*AO233</f>
        <v>0</v>
      </c>
      <c r="BI233" s="35">
        <f>G233*AP233</f>
        <v>0</v>
      </c>
      <c r="BJ233" s="35">
        <f>G233*H233</f>
        <v>0</v>
      </c>
      <c r="BK233" s="35"/>
      <c r="BL233" s="35"/>
      <c r="BW233" s="35" t="str">
        <f>I233</f>
        <v>21</v>
      </c>
      <c r="BX233" s="4" t="s">
        <v>494</v>
      </c>
    </row>
    <row r="234" spans="1:76" ht="13.5" customHeight="1" x14ac:dyDescent="0.4">
      <c r="A234" s="38"/>
      <c r="C234" s="39" t="s">
        <v>73</v>
      </c>
      <c r="D234" s="94" t="s">
        <v>497</v>
      </c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6"/>
    </row>
    <row r="235" spans="1:76" ht="14.6" x14ac:dyDescent="0.4">
      <c r="A235" s="2" t="s">
        <v>498</v>
      </c>
      <c r="B235" s="3" t="s">
        <v>350</v>
      </c>
      <c r="C235" s="3" t="s">
        <v>499</v>
      </c>
      <c r="D235" s="83" t="s">
        <v>500</v>
      </c>
      <c r="E235" s="84"/>
      <c r="F235" s="3" t="s">
        <v>228</v>
      </c>
      <c r="G235" s="35">
        <v>6</v>
      </c>
      <c r="H235" s="82"/>
      <c r="I235" s="36" t="s">
        <v>65</v>
      </c>
      <c r="J235" s="35">
        <f>G235*AO235</f>
        <v>0</v>
      </c>
      <c r="K235" s="35">
        <f>G235*AP235</f>
        <v>0</v>
      </c>
      <c r="L235" s="35">
        <f>G235*H235</f>
        <v>0</v>
      </c>
      <c r="M235" s="35">
        <f>L235*(1+BW235/100)</f>
        <v>0</v>
      </c>
      <c r="N235" s="35">
        <v>0</v>
      </c>
      <c r="O235" s="35">
        <f>G235*N235</f>
        <v>0</v>
      </c>
      <c r="P235" s="37" t="s">
        <v>66</v>
      </c>
      <c r="Z235" s="35">
        <f>IF(AQ235="5",BJ235,0)</f>
        <v>0</v>
      </c>
      <c r="AB235" s="35">
        <f>IF(AQ235="1",BH235,0)</f>
        <v>0</v>
      </c>
      <c r="AC235" s="35">
        <f>IF(AQ235="1",BI235,0)</f>
        <v>0</v>
      </c>
      <c r="AD235" s="35">
        <f>IF(AQ235="7",BH235,0)</f>
        <v>0</v>
      </c>
      <c r="AE235" s="35">
        <f>IF(AQ235="7",BI235,0)</f>
        <v>0</v>
      </c>
      <c r="AF235" s="35">
        <f>IF(AQ235="2",BH235,0)</f>
        <v>0</v>
      </c>
      <c r="AG235" s="35">
        <f>IF(AQ235="2",BI235,0)</f>
        <v>0</v>
      </c>
      <c r="AH235" s="35">
        <f>IF(AQ235="0",BJ235,0)</f>
        <v>0</v>
      </c>
      <c r="AI235" s="12" t="s">
        <v>350</v>
      </c>
      <c r="AJ235" s="35">
        <f>IF(AN235=0,L235,0)</f>
        <v>0</v>
      </c>
      <c r="AK235" s="35">
        <f>IF(AN235=12,L235,0)</f>
        <v>0</v>
      </c>
      <c r="AL235" s="35">
        <f>IF(AN235=21,L235,0)</f>
        <v>0</v>
      </c>
      <c r="AN235" s="35">
        <v>21</v>
      </c>
      <c r="AO235" s="35">
        <f>H235*0.06</f>
        <v>0</v>
      </c>
      <c r="AP235" s="35">
        <f>H235*(1-0.06)</f>
        <v>0</v>
      </c>
      <c r="AQ235" s="36" t="s">
        <v>70</v>
      </c>
      <c r="AV235" s="35">
        <f>AW235+AX235</f>
        <v>0</v>
      </c>
      <c r="AW235" s="35">
        <f>G235*AO235</f>
        <v>0</v>
      </c>
      <c r="AX235" s="35">
        <f>G235*AP235</f>
        <v>0</v>
      </c>
      <c r="AY235" s="36" t="s">
        <v>479</v>
      </c>
      <c r="AZ235" s="36" t="s">
        <v>358</v>
      </c>
      <c r="BA235" s="12" t="s">
        <v>359</v>
      </c>
      <c r="BC235" s="35">
        <f>AW235+AX235</f>
        <v>0</v>
      </c>
      <c r="BD235" s="35">
        <f>H235/(100-BE235)*100</f>
        <v>0</v>
      </c>
      <c r="BE235" s="35">
        <v>0</v>
      </c>
      <c r="BF235" s="35">
        <f>O235</f>
        <v>0</v>
      </c>
      <c r="BH235" s="35">
        <f>G235*AO235</f>
        <v>0</v>
      </c>
      <c r="BI235" s="35">
        <f>G235*AP235</f>
        <v>0</v>
      </c>
      <c r="BJ235" s="35">
        <f>G235*H235</f>
        <v>0</v>
      </c>
      <c r="BK235" s="35"/>
      <c r="BL235" s="35"/>
      <c r="BW235" s="35" t="str">
        <f>I235</f>
        <v>21</v>
      </c>
      <c r="BX235" s="4" t="s">
        <v>500</v>
      </c>
    </row>
    <row r="236" spans="1:76" ht="13.5" customHeight="1" x14ac:dyDescent="0.4">
      <c r="A236" s="38"/>
      <c r="C236" s="39" t="s">
        <v>73</v>
      </c>
      <c r="D236" s="94" t="s">
        <v>501</v>
      </c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6"/>
    </row>
    <row r="237" spans="1:76" ht="14.6" x14ac:dyDescent="0.4">
      <c r="A237" s="31" t="s">
        <v>56</v>
      </c>
      <c r="B237" s="32" t="s">
        <v>350</v>
      </c>
      <c r="C237" s="32" t="s">
        <v>502</v>
      </c>
      <c r="D237" s="92" t="s">
        <v>503</v>
      </c>
      <c r="E237" s="93"/>
      <c r="F237" s="33" t="s">
        <v>4</v>
      </c>
      <c r="G237" s="33" t="s">
        <v>4</v>
      </c>
      <c r="H237" s="33" t="s">
        <v>4</v>
      </c>
      <c r="I237" s="33" t="s">
        <v>4</v>
      </c>
      <c r="J237" s="1">
        <f>SUM(J238:J244)</f>
        <v>0</v>
      </c>
      <c r="K237" s="1">
        <f>SUM(K238:K244)</f>
        <v>0</v>
      </c>
      <c r="L237" s="1">
        <f>SUM(L238:L244)</f>
        <v>0</v>
      </c>
      <c r="M237" s="1">
        <f>SUM(M238:M244)</f>
        <v>0</v>
      </c>
      <c r="N237" s="12" t="s">
        <v>56</v>
      </c>
      <c r="O237" s="1">
        <f>SUM(O238:O244)</f>
        <v>0</v>
      </c>
      <c r="P237" s="34" t="s">
        <v>56</v>
      </c>
      <c r="AI237" s="12" t="s">
        <v>350</v>
      </c>
      <c r="AS237" s="1">
        <f>SUM(AJ238:AJ244)</f>
        <v>0</v>
      </c>
      <c r="AT237" s="1">
        <f>SUM(AK238:AK244)</f>
        <v>0</v>
      </c>
      <c r="AU237" s="1">
        <f>SUM(AL238:AL244)</f>
        <v>0</v>
      </c>
    </row>
    <row r="238" spans="1:76" ht="14.6" x14ac:dyDescent="0.4">
      <c r="A238" s="2" t="s">
        <v>504</v>
      </c>
      <c r="B238" s="3" t="s">
        <v>350</v>
      </c>
      <c r="C238" s="3" t="s">
        <v>505</v>
      </c>
      <c r="D238" s="83" t="s">
        <v>506</v>
      </c>
      <c r="E238" s="84"/>
      <c r="F238" s="3" t="s">
        <v>507</v>
      </c>
      <c r="G238" s="35">
        <v>12</v>
      </c>
      <c r="H238" s="82"/>
      <c r="I238" s="36" t="s">
        <v>65</v>
      </c>
      <c r="J238" s="35">
        <f>G238*AO238</f>
        <v>0</v>
      </c>
      <c r="K238" s="35">
        <f>G238*AP238</f>
        <v>0</v>
      </c>
      <c r="L238" s="35">
        <f>G238*H238</f>
        <v>0</v>
      </c>
      <c r="M238" s="35">
        <f>L238*(1+BW238/100)</f>
        <v>0</v>
      </c>
      <c r="N238" s="35">
        <v>0</v>
      </c>
      <c r="O238" s="35">
        <f>G238*N238</f>
        <v>0</v>
      </c>
      <c r="P238" s="37" t="s">
        <v>66</v>
      </c>
      <c r="Z238" s="35">
        <f>IF(AQ238="5",BJ238,0)</f>
        <v>0</v>
      </c>
      <c r="AB238" s="35">
        <f>IF(AQ238="1",BH238,0)</f>
        <v>0</v>
      </c>
      <c r="AC238" s="35">
        <f>IF(AQ238="1",BI238,0)</f>
        <v>0</v>
      </c>
      <c r="AD238" s="35">
        <f>IF(AQ238="7",BH238,0)</f>
        <v>0</v>
      </c>
      <c r="AE238" s="35">
        <f>IF(AQ238="7",BI238,0)</f>
        <v>0</v>
      </c>
      <c r="AF238" s="35">
        <f>IF(AQ238="2",BH238,0)</f>
        <v>0</v>
      </c>
      <c r="AG238" s="35">
        <f>IF(AQ238="2",BI238,0)</f>
        <v>0</v>
      </c>
      <c r="AH238" s="35">
        <f>IF(AQ238="0",BJ238,0)</f>
        <v>0</v>
      </c>
      <c r="AI238" s="12" t="s">
        <v>350</v>
      </c>
      <c r="AJ238" s="35">
        <f>IF(AN238=0,L238,0)</f>
        <v>0</v>
      </c>
      <c r="AK238" s="35">
        <f>IF(AN238=12,L238,0)</f>
        <v>0</v>
      </c>
      <c r="AL238" s="35">
        <f>IF(AN238=21,L238,0)</f>
        <v>0</v>
      </c>
      <c r="AN238" s="35">
        <v>21</v>
      </c>
      <c r="AO238" s="35">
        <f>H238*0</f>
        <v>0</v>
      </c>
      <c r="AP238" s="35">
        <f>H238*(1-0)</f>
        <v>0</v>
      </c>
      <c r="AQ238" s="36" t="s">
        <v>70</v>
      </c>
      <c r="AV238" s="35">
        <f>AW238+AX238</f>
        <v>0</v>
      </c>
      <c r="AW238" s="35">
        <f>G238*AO238</f>
        <v>0</v>
      </c>
      <c r="AX238" s="35">
        <f>G238*AP238</f>
        <v>0</v>
      </c>
      <c r="AY238" s="36" t="s">
        <v>508</v>
      </c>
      <c r="AZ238" s="36" t="s">
        <v>358</v>
      </c>
      <c r="BA238" s="12" t="s">
        <v>359</v>
      </c>
      <c r="BC238" s="35">
        <f>AW238+AX238</f>
        <v>0</v>
      </c>
      <c r="BD238" s="35">
        <f>H238/(100-BE238)*100</f>
        <v>0</v>
      </c>
      <c r="BE238" s="35">
        <v>0</v>
      </c>
      <c r="BF238" s="35">
        <f>O238</f>
        <v>0</v>
      </c>
      <c r="BH238" s="35">
        <f>G238*AO238</f>
        <v>0</v>
      </c>
      <c r="BI238" s="35">
        <f>G238*AP238</f>
        <v>0</v>
      </c>
      <c r="BJ238" s="35">
        <f>G238*H238</f>
        <v>0</v>
      </c>
      <c r="BK238" s="35"/>
      <c r="BL238" s="35"/>
      <c r="BW238" s="35" t="str">
        <f>I238</f>
        <v>21</v>
      </c>
      <c r="BX238" s="4" t="s">
        <v>506</v>
      </c>
    </row>
    <row r="239" spans="1:76" ht="13.5" customHeight="1" x14ac:dyDescent="0.4">
      <c r="A239" s="38"/>
      <c r="C239" s="39" t="s">
        <v>73</v>
      </c>
      <c r="D239" s="94" t="s">
        <v>509</v>
      </c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6"/>
    </row>
    <row r="240" spans="1:76" ht="14.6" x14ac:dyDescent="0.4">
      <c r="A240" s="2" t="s">
        <v>510</v>
      </c>
      <c r="B240" s="3" t="s">
        <v>350</v>
      </c>
      <c r="C240" s="3" t="s">
        <v>511</v>
      </c>
      <c r="D240" s="83" t="s">
        <v>512</v>
      </c>
      <c r="E240" s="84"/>
      <c r="F240" s="3" t="s">
        <v>419</v>
      </c>
      <c r="G240" s="35">
        <v>120</v>
      </c>
      <c r="H240" s="82"/>
      <c r="I240" s="36" t="s">
        <v>65</v>
      </c>
      <c r="J240" s="35">
        <f>G240*AO240</f>
        <v>0</v>
      </c>
      <c r="K240" s="35">
        <f>G240*AP240</f>
        <v>0</v>
      </c>
      <c r="L240" s="35">
        <f>G240*H240</f>
        <v>0</v>
      </c>
      <c r="M240" s="35">
        <f>L240*(1+BW240/100)</f>
        <v>0</v>
      </c>
      <c r="N240" s="35">
        <v>0</v>
      </c>
      <c r="O240" s="35">
        <f>G240*N240</f>
        <v>0</v>
      </c>
      <c r="P240" s="37" t="s">
        <v>66</v>
      </c>
      <c r="Z240" s="35">
        <f>IF(AQ240="5",BJ240,0)</f>
        <v>0</v>
      </c>
      <c r="AB240" s="35">
        <f>IF(AQ240="1",BH240,0)</f>
        <v>0</v>
      </c>
      <c r="AC240" s="35">
        <f>IF(AQ240="1",BI240,0)</f>
        <v>0</v>
      </c>
      <c r="AD240" s="35">
        <f>IF(AQ240="7",BH240,0)</f>
        <v>0</v>
      </c>
      <c r="AE240" s="35">
        <f>IF(AQ240="7",BI240,0)</f>
        <v>0</v>
      </c>
      <c r="AF240" s="35">
        <f>IF(AQ240="2",BH240,0)</f>
        <v>0</v>
      </c>
      <c r="AG240" s="35">
        <f>IF(AQ240="2",BI240,0)</f>
        <v>0</v>
      </c>
      <c r="AH240" s="35">
        <f>IF(AQ240="0",BJ240,0)</f>
        <v>0</v>
      </c>
      <c r="AI240" s="12" t="s">
        <v>350</v>
      </c>
      <c r="AJ240" s="35">
        <f>IF(AN240=0,L240,0)</f>
        <v>0</v>
      </c>
      <c r="AK240" s="35">
        <f>IF(AN240=12,L240,0)</f>
        <v>0</v>
      </c>
      <c r="AL240" s="35">
        <f>IF(AN240=21,L240,0)</f>
        <v>0</v>
      </c>
      <c r="AN240" s="35">
        <v>21</v>
      </c>
      <c r="AO240" s="35">
        <f>H240*0</f>
        <v>0</v>
      </c>
      <c r="AP240" s="35">
        <f>H240*(1-0)</f>
        <v>0</v>
      </c>
      <c r="AQ240" s="36" t="s">
        <v>70</v>
      </c>
      <c r="AV240" s="35">
        <f>AW240+AX240</f>
        <v>0</v>
      </c>
      <c r="AW240" s="35">
        <f>G240*AO240</f>
        <v>0</v>
      </c>
      <c r="AX240" s="35">
        <f>G240*AP240</f>
        <v>0</v>
      </c>
      <c r="AY240" s="36" t="s">
        <v>508</v>
      </c>
      <c r="AZ240" s="36" t="s">
        <v>358</v>
      </c>
      <c r="BA240" s="12" t="s">
        <v>359</v>
      </c>
      <c r="BC240" s="35">
        <f>AW240+AX240</f>
        <v>0</v>
      </c>
      <c r="BD240" s="35">
        <f>H240/(100-BE240)*100</f>
        <v>0</v>
      </c>
      <c r="BE240" s="35">
        <v>0</v>
      </c>
      <c r="BF240" s="35">
        <f>O240</f>
        <v>0</v>
      </c>
      <c r="BH240" s="35">
        <f>G240*AO240</f>
        <v>0</v>
      </c>
      <c r="BI240" s="35">
        <f>G240*AP240</f>
        <v>0</v>
      </c>
      <c r="BJ240" s="35">
        <f>G240*H240</f>
        <v>0</v>
      </c>
      <c r="BK240" s="35"/>
      <c r="BL240" s="35"/>
      <c r="BW240" s="35" t="str">
        <f>I240</f>
        <v>21</v>
      </c>
      <c r="BX240" s="4" t="s">
        <v>512</v>
      </c>
    </row>
    <row r="241" spans="1:76" ht="14.6" x14ac:dyDescent="0.4">
      <c r="A241" s="2" t="s">
        <v>513</v>
      </c>
      <c r="B241" s="3" t="s">
        <v>350</v>
      </c>
      <c r="C241" s="3" t="s">
        <v>514</v>
      </c>
      <c r="D241" s="83" t="s">
        <v>515</v>
      </c>
      <c r="E241" s="84"/>
      <c r="F241" s="3" t="s">
        <v>507</v>
      </c>
      <c r="G241" s="35">
        <v>6</v>
      </c>
      <c r="H241" s="82"/>
      <c r="I241" s="36" t="s">
        <v>65</v>
      </c>
      <c r="J241" s="35">
        <f>G241*AO241</f>
        <v>0</v>
      </c>
      <c r="K241" s="35">
        <f>G241*AP241</f>
        <v>0</v>
      </c>
      <c r="L241" s="35">
        <f>G241*H241</f>
        <v>0</v>
      </c>
      <c r="M241" s="35">
        <f>L241*(1+BW241/100)</f>
        <v>0</v>
      </c>
      <c r="N241" s="35">
        <v>0</v>
      </c>
      <c r="O241" s="35">
        <f>G241*N241</f>
        <v>0</v>
      </c>
      <c r="P241" s="37" t="s">
        <v>66</v>
      </c>
      <c r="Z241" s="35">
        <f>IF(AQ241="5",BJ241,0)</f>
        <v>0</v>
      </c>
      <c r="AB241" s="35">
        <f>IF(AQ241="1",BH241,0)</f>
        <v>0</v>
      </c>
      <c r="AC241" s="35">
        <f>IF(AQ241="1",BI241,0)</f>
        <v>0</v>
      </c>
      <c r="AD241" s="35">
        <f>IF(AQ241="7",BH241,0)</f>
        <v>0</v>
      </c>
      <c r="AE241" s="35">
        <f>IF(AQ241="7",BI241,0)</f>
        <v>0</v>
      </c>
      <c r="AF241" s="35">
        <f>IF(AQ241="2",BH241,0)</f>
        <v>0</v>
      </c>
      <c r="AG241" s="35">
        <f>IF(AQ241="2",BI241,0)</f>
        <v>0</v>
      </c>
      <c r="AH241" s="35">
        <f>IF(AQ241="0",BJ241,0)</f>
        <v>0</v>
      </c>
      <c r="AI241" s="12" t="s">
        <v>350</v>
      </c>
      <c r="AJ241" s="35">
        <f>IF(AN241=0,L241,0)</f>
        <v>0</v>
      </c>
      <c r="AK241" s="35">
        <f>IF(AN241=12,L241,0)</f>
        <v>0</v>
      </c>
      <c r="AL241" s="35">
        <f>IF(AN241=21,L241,0)</f>
        <v>0</v>
      </c>
      <c r="AN241" s="35">
        <v>21</v>
      </c>
      <c r="AO241" s="35">
        <f>H241*0</f>
        <v>0</v>
      </c>
      <c r="AP241" s="35">
        <f>H241*(1-0)</f>
        <v>0</v>
      </c>
      <c r="AQ241" s="36" t="s">
        <v>70</v>
      </c>
      <c r="AV241" s="35">
        <f>AW241+AX241</f>
        <v>0</v>
      </c>
      <c r="AW241" s="35">
        <f>G241*AO241</f>
        <v>0</v>
      </c>
      <c r="AX241" s="35">
        <f>G241*AP241</f>
        <v>0</v>
      </c>
      <c r="AY241" s="36" t="s">
        <v>508</v>
      </c>
      <c r="AZ241" s="36" t="s">
        <v>358</v>
      </c>
      <c r="BA241" s="12" t="s">
        <v>359</v>
      </c>
      <c r="BC241" s="35">
        <f>AW241+AX241</f>
        <v>0</v>
      </c>
      <c r="BD241" s="35">
        <f>H241/(100-BE241)*100</f>
        <v>0</v>
      </c>
      <c r="BE241" s="35">
        <v>0</v>
      </c>
      <c r="BF241" s="35">
        <f>O241</f>
        <v>0</v>
      </c>
      <c r="BH241" s="35">
        <f>G241*AO241</f>
        <v>0</v>
      </c>
      <c r="BI241" s="35">
        <f>G241*AP241</f>
        <v>0</v>
      </c>
      <c r="BJ241" s="35">
        <f>G241*H241</f>
        <v>0</v>
      </c>
      <c r="BK241" s="35"/>
      <c r="BL241" s="35"/>
      <c r="BW241" s="35" t="str">
        <f>I241</f>
        <v>21</v>
      </c>
      <c r="BX241" s="4" t="s">
        <v>515</v>
      </c>
    </row>
    <row r="242" spans="1:76" ht="13.5" customHeight="1" x14ac:dyDescent="0.4">
      <c r="A242" s="38"/>
      <c r="C242" s="44" t="s">
        <v>165</v>
      </c>
      <c r="D242" s="89" t="s">
        <v>516</v>
      </c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1"/>
    </row>
    <row r="243" spans="1:76" ht="14.6" x14ac:dyDescent="0.4">
      <c r="A243" s="2" t="s">
        <v>517</v>
      </c>
      <c r="B243" s="3" t="s">
        <v>350</v>
      </c>
      <c r="C243" s="3" t="s">
        <v>518</v>
      </c>
      <c r="D243" s="83" t="s">
        <v>519</v>
      </c>
      <c r="E243" s="84"/>
      <c r="F243" s="3" t="s">
        <v>419</v>
      </c>
      <c r="G243" s="35">
        <v>120</v>
      </c>
      <c r="H243" s="82"/>
      <c r="I243" s="36" t="s">
        <v>65</v>
      </c>
      <c r="J243" s="35">
        <f>G243*AO243</f>
        <v>0</v>
      </c>
      <c r="K243" s="35">
        <f>G243*AP243</f>
        <v>0</v>
      </c>
      <c r="L243" s="35">
        <f>G243*H243</f>
        <v>0</v>
      </c>
      <c r="M243" s="35">
        <f>L243*(1+BW243/100)</f>
        <v>0</v>
      </c>
      <c r="N243" s="35">
        <v>0</v>
      </c>
      <c r="O243" s="35">
        <f>G243*N243</f>
        <v>0</v>
      </c>
      <c r="P243" s="37" t="s">
        <v>66</v>
      </c>
      <c r="Z243" s="35">
        <f>IF(AQ243="5",BJ243,0)</f>
        <v>0</v>
      </c>
      <c r="AB243" s="35">
        <f>IF(AQ243="1",BH243,0)</f>
        <v>0</v>
      </c>
      <c r="AC243" s="35">
        <f>IF(AQ243="1",BI243,0)</f>
        <v>0</v>
      </c>
      <c r="AD243" s="35">
        <f>IF(AQ243="7",BH243,0)</f>
        <v>0</v>
      </c>
      <c r="AE243" s="35">
        <f>IF(AQ243="7",BI243,0)</f>
        <v>0</v>
      </c>
      <c r="AF243" s="35">
        <f>IF(AQ243="2",BH243,0)</f>
        <v>0</v>
      </c>
      <c r="AG243" s="35">
        <f>IF(AQ243="2",BI243,0)</f>
        <v>0</v>
      </c>
      <c r="AH243" s="35">
        <f>IF(AQ243="0",BJ243,0)</f>
        <v>0</v>
      </c>
      <c r="AI243" s="12" t="s">
        <v>350</v>
      </c>
      <c r="AJ243" s="35">
        <f>IF(AN243=0,L243,0)</f>
        <v>0</v>
      </c>
      <c r="AK243" s="35">
        <f>IF(AN243=12,L243,0)</f>
        <v>0</v>
      </c>
      <c r="AL243" s="35">
        <f>IF(AN243=21,L243,0)</f>
        <v>0</v>
      </c>
      <c r="AN243" s="35">
        <v>21</v>
      </c>
      <c r="AO243" s="35">
        <f>H243*0</f>
        <v>0</v>
      </c>
      <c r="AP243" s="35">
        <f>H243*(1-0)</f>
        <v>0</v>
      </c>
      <c r="AQ243" s="36" t="s">
        <v>70</v>
      </c>
      <c r="AV243" s="35">
        <f>AW243+AX243</f>
        <v>0</v>
      </c>
      <c r="AW243" s="35">
        <f>G243*AO243</f>
        <v>0</v>
      </c>
      <c r="AX243" s="35">
        <f>G243*AP243</f>
        <v>0</v>
      </c>
      <c r="AY243" s="36" t="s">
        <v>508</v>
      </c>
      <c r="AZ243" s="36" t="s">
        <v>358</v>
      </c>
      <c r="BA243" s="12" t="s">
        <v>359</v>
      </c>
      <c r="BC243" s="35">
        <f>AW243+AX243</f>
        <v>0</v>
      </c>
      <c r="BD243" s="35">
        <f>H243/(100-BE243)*100</f>
        <v>0</v>
      </c>
      <c r="BE243" s="35">
        <v>0</v>
      </c>
      <c r="BF243" s="35">
        <f>O243</f>
        <v>0</v>
      </c>
      <c r="BH243" s="35">
        <f>G243*AO243</f>
        <v>0</v>
      </c>
      <c r="BI243" s="35">
        <f>G243*AP243</f>
        <v>0</v>
      </c>
      <c r="BJ243" s="35">
        <f>G243*H243</f>
        <v>0</v>
      </c>
      <c r="BK243" s="35"/>
      <c r="BL243" s="35"/>
      <c r="BW243" s="35" t="str">
        <f>I243</f>
        <v>21</v>
      </c>
      <c r="BX243" s="4" t="s">
        <v>519</v>
      </c>
    </row>
    <row r="244" spans="1:76" ht="14.6" x14ac:dyDescent="0.4">
      <c r="A244" s="2" t="s">
        <v>520</v>
      </c>
      <c r="B244" s="3" t="s">
        <v>350</v>
      </c>
      <c r="C244" s="3" t="s">
        <v>521</v>
      </c>
      <c r="D244" s="83" t="s">
        <v>522</v>
      </c>
      <c r="E244" s="84"/>
      <c r="F244" s="3" t="s">
        <v>228</v>
      </c>
      <c r="G244" s="35">
        <v>1</v>
      </c>
      <c r="H244" s="82"/>
      <c r="I244" s="36" t="s">
        <v>65</v>
      </c>
      <c r="J244" s="35">
        <f>G244*AO244</f>
        <v>0</v>
      </c>
      <c r="K244" s="35">
        <f>G244*AP244</f>
        <v>0</v>
      </c>
      <c r="L244" s="35">
        <f>G244*H244</f>
        <v>0</v>
      </c>
      <c r="M244" s="35">
        <f>L244*(1+BW244/100)</f>
        <v>0</v>
      </c>
      <c r="N244" s="35">
        <v>0</v>
      </c>
      <c r="O244" s="35">
        <f>G244*N244</f>
        <v>0</v>
      </c>
      <c r="P244" s="37" t="s">
        <v>66</v>
      </c>
      <c r="Z244" s="35">
        <f>IF(AQ244="5",BJ244,0)</f>
        <v>0</v>
      </c>
      <c r="AB244" s="35">
        <f>IF(AQ244="1",BH244,0)</f>
        <v>0</v>
      </c>
      <c r="AC244" s="35">
        <f>IF(AQ244="1",BI244,0)</f>
        <v>0</v>
      </c>
      <c r="AD244" s="35">
        <f>IF(AQ244="7",BH244,0)</f>
        <v>0</v>
      </c>
      <c r="AE244" s="35">
        <f>IF(AQ244="7",BI244,0)</f>
        <v>0</v>
      </c>
      <c r="AF244" s="35">
        <f>IF(AQ244="2",BH244,0)</f>
        <v>0</v>
      </c>
      <c r="AG244" s="35">
        <f>IF(AQ244="2",BI244,0)</f>
        <v>0</v>
      </c>
      <c r="AH244" s="35">
        <f>IF(AQ244="0",BJ244,0)</f>
        <v>0</v>
      </c>
      <c r="AI244" s="12" t="s">
        <v>350</v>
      </c>
      <c r="AJ244" s="35">
        <f>IF(AN244=0,L244,0)</f>
        <v>0</v>
      </c>
      <c r="AK244" s="35">
        <f>IF(AN244=12,L244,0)</f>
        <v>0</v>
      </c>
      <c r="AL244" s="35">
        <f>IF(AN244=21,L244,0)</f>
        <v>0</v>
      </c>
      <c r="AN244" s="35">
        <v>21</v>
      </c>
      <c r="AO244" s="35">
        <f>H244*0</f>
        <v>0</v>
      </c>
      <c r="AP244" s="35">
        <f>H244*(1-0)</f>
        <v>0</v>
      </c>
      <c r="AQ244" s="36" t="s">
        <v>70</v>
      </c>
      <c r="AV244" s="35">
        <f>AW244+AX244</f>
        <v>0</v>
      </c>
      <c r="AW244" s="35">
        <f>G244*AO244</f>
        <v>0</v>
      </c>
      <c r="AX244" s="35">
        <f>G244*AP244</f>
        <v>0</v>
      </c>
      <c r="AY244" s="36" t="s">
        <v>508</v>
      </c>
      <c r="AZ244" s="36" t="s">
        <v>358</v>
      </c>
      <c r="BA244" s="12" t="s">
        <v>359</v>
      </c>
      <c r="BC244" s="35">
        <f>AW244+AX244</f>
        <v>0</v>
      </c>
      <c r="BD244" s="35">
        <f>H244/(100-BE244)*100</f>
        <v>0</v>
      </c>
      <c r="BE244" s="35">
        <v>0</v>
      </c>
      <c r="BF244" s="35">
        <f>O244</f>
        <v>0</v>
      </c>
      <c r="BH244" s="35">
        <f>G244*AO244</f>
        <v>0</v>
      </c>
      <c r="BI244" s="35">
        <f>G244*AP244</f>
        <v>0</v>
      </c>
      <c r="BJ244" s="35">
        <f>G244*H244</f>
        <v>0</v>
      </c>
      <c r="BK244" s="35"/>
      <c r="BL244" s="35"/>
      <c r="BW244" s="35" t="str">
        <f>I244</f>
        <v>21</v>
      </c>
      <c r="BX244" s="4" t="s">
        <v>522</v>
      </c>
    </row>
    <row r="245" spans="1:76" ht="13.5" customHeight="1" x14ac:dyDescent="0.4">
      <c r="A245" s="38"/>
      <c r="C245" s="44" t="s">
        <v>165</v>
      </c>
      <c r="D245" s="89" t="s">
        <v>523</v>
      </c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1"/>
    </row>
    <row r="246" spans="1:76" ht="14.6" x14ac:dyDescent="0.4">
      <c r="A246" s="31" t="s">
        <v>56</v>
      </c>
      <c r="B246" s="32" t="s">
        <v>350</v>
      </c>
      <c r="C246" s="32" t="s">
        <v>293</v>
      </c>
      <c r="D246" s="92" t="s">
        <v>294</v>
      </c>
      <c r="E246" s="93"/>
      <c r="F246" s="33" t="s">
        <v>4</v>
      </c>
      <c r="G246" s="33" t="s">
        <v>4</v>
      </c>
      <c r="H246" s="33" t="s">
        <v>4</v>
      </c>
      <c r="I246" s="33" t="s">
        <v>4</v>
      </c>
      <c r="J246" s="1">
        <f>SUM(J247:J247)</f>
        <v>0</v>
      </c>
      <c r="K246" s="1">
        <f>SUM(K247:K247)</f>
        <v>0</v>
      </c>
      <c r="L246" s="1">
        <f>SUM(L247:L247)</f>
        <v>0</v>
      </c>
      <c r="M246" s="1">
        <f>SUM(M247:M247)</f>
        <v>0</v>
      </c>
      <c r="N246" s="12" t="s">
        <v>56</v>
      </c>
      <c r="O246" s="1">
        <f>SUM(O247:O247)</f>
        <v>5.8915500000000003E-2</v>
      </c>
      <c r="P246" s="34" t="s">
        <v>56</v>
      </c>
      <c r="AI246" s="12" t="s">
        <v>350</v>
      </c>
      <c r="AS246" s="1">
        <f>SUM(AJ247:AJ247)</f>
        <v>0</v>
      </c>
      <c r="AT246" s="1">
        <f>SUM(AK247:AK247)</f>
        <v>0</v>
      </c>
      <c r="AU246" s="1">
        <f>SUM(AL247:AL247)</f>
        <v>0</v>
      </c>
    </row>
    <row r="247" spans="1:76" ht="14.6" x14ac:dyDescent="0.4">
      <c r="A247" s="2" t="s">
        <v>524</v>
      </c>
      <c r="B247" s="3" t="s">
        <v>350</v>
      </c>
      <c r="C247" s="3" t="s">
        <v>525</v>
      </c>
      <c r="D247" s="83" t="s">
        <v>526</v>
      </c>
      <c r="E247" s="84"/>
      <c r="F247" s="3" t="s">
        <v>94</v>
      </c>
      <c r="G247" s="35">
        <v>190.05</v>
      </c>
      <c r="H247" s="82"/>
      <c r="I247" s="36" t="s">
        <v>65</v>
      </c>
      <c r="J247" s="35">
        <f>G247*AO247</f>
        <v>0</v>
      </c>
      <c r="K247" s="35">
        <f>G247*AP247</f>
        <v>0</v>
      </c>
      <c r="L247" s="35">
        <f>G247*H247</f>
        <v>0</v>
      </c>
      <c r="M247" s="35">
        <f>L247*(1+BW247/100)</f>
        <v>0</v>
      </c>
      <c r="N247" s="35">
        <v>3.1E-4</v>
      </c>
      <c r="O247" s="35">
        <f>G247*N247</f>
        <v>5.8915500000000003E-2</v>
      </c>
      <c r="P247" s="37" t="s">
        <v>66</v>
      </c>
      <c r="Z247" s="35">
        <f>IF(AQ247="5",BJ247,0)</f>
        <v>0</v>
      </c>
      <c r="AB247" s="35">
        <f>IF(AQ247="1",BH247,0)</f>
        <v>0</v>
      </c>
      <c r="AC247" s="35">
        <f>IF(AQ247="1",BI247,0)</f>
        <v>0</v>
      </c>
      <c r="AD247" s="35">
        <f>IF(AQ247="7",BH247,0)</f>
        <v>0</v>
      </c>
      <c r="AE247" s="35">
        <f>IF(AQ247="7",BI247,0)</f>
        <v>0</v>
      </c>
      <c r="AF247" s="35">
        <f>IF(AQ247="2",BH247,0)</f>
        <v>0</v>
      </c>
      <c r="AG247" s="35">
        <f>IF(AQ247="2",BI247,0)</f>
        <v>0</v>
      </c>
      <c r="AH247" s="35">
        <f>IF(AQ247="0",BJ247,0)</f>
        <v>0</v>
      </c>
      <c r="AI247" s="12" t="s">
        <v>350</v>
      </c>
      <c r="AJ247" s="35">
        <f>IF(AN247=0,L247,0)</f>
        <v>0</v>
      </c>
      <c r="AK247" s="35">
        <f>IF(AN247=12,L247,0)</f>
        <v>0</v>
      </c>
      <c r="AL247" s="35">
        <f>IF(AN247=21,L247,0)</f>
        <v>0</v>
      </c>
      <c r="AN247" s="35">
        <v>21</v>
      </c>
      <c r="AO247" s="35">
        <f>H247*1</f>
        <v>0</v>
      </c>
      <c r="AP247" s="35">
        <f>H247*(1-1)</f>
        <v>0</v>
      </c>
      <c r="AQ247" s="36" t="s">
        <v>299</v>
      </c>
      <c r="AV247" s="35">
        <f>AW247+AX247</f>
        <v>0</v>
      </c>
      <c r="AW247" s="35">
        <f>G247*AO247</f>
        <v>0</v>
      </c>
      <c r="AX247" s="35">
        <f>G247*AP247</f>
        <v>0</v>
      </c>
      <c r="AY247" s="36" t="s">
        <v>300</v>
      </c>
      <c r="AZ247" s="36" t="s">
        <v>527</v>
      </c>
      <c r="BA247" s="12" t="s">
        <v>359</v>
      </c>
      <c r="BC247" s="35">
        <f>AW247+AX247</f>
        <v>0</v>
      </c>
      <c r="BD247" s="35">
        <f>H247/(100-BE247)*100</f>
        <v>0</v>
      </c>
      <c r="BE247" s="35">
        <v>0</v>
      </c>
      <c r="BF247" s="35">
        <f>O247</f>
        <v>5.8915500000000003E-2</v>
      </c>
      <c r="BH247" s="35">
        <f>G247*AO247</f>
        <v>0</v>
      </c>
      <c r="BI247" s="35">
        <f>G247*AP247</f>
        <v>0</v>
      </c>
      <c r="BJ247" s="35">
        <f>G247*H247</f>
        <v>0</v>
      </c>
      <c r="BK247" s="35"/>
      <c r="BL247" s="35"/>
      <c r="BW247" s="35" t="str">
        <f>I247</f>
        <v>21</v>
      </c>
      <c r="BX247" s="4" t="s">
        <v>526</v>
      </c>
    </row>
    <row r="248" spans="1:76" ht="14.6" x14ac:dyDescent="0.4">
      <c r="A248" s="38"/>
      <c r="D248" s="40" t="s">
        <v>528</v>
      </c>
      <c r="E248" s="41" t="s">
        <v>56</v>
      </c>
      <c r="G248" s="42">
        <v>181</v>
      </c>
      <c r="P248" s="43"/>
    </row>
    <row r="249" spans="1:76" ht="14.6" x14ac:dyDescent="0.4">
      <c r="A249" s="38"/>
      <c r="D249" s="40" t="s">
        <v>529</v>
      </c>
      <c r="E249" s="41" t="s">
        <v>56</v>
      </c>
      <c r="G249" s="42">
        <v>9.0500000000000007</v>
      </c>
      <c r="P249" s="43"/>
    </row>
    <row r="250" spans="1:76" ht="14.6" x14ac:dyDescent="0.4">
      <c r="A250" s="31" t="s">
        <v>56</v>
      </c>
      <c r="B250" s="32" t="s">
        <v>530</v>
      </c>
      <c r="C250" s="32" t="s">
        <v>56</v>
      </c>
      <c r="D250" s="92" t="s">
        <v>531</v>
      </c>
      <c r="E250" s="93"/>
      <c r="F250" s="33" t="s">
        <v>4</v>
      </c>
      <c r="G250" s="33" t="s">
        <v>4</v>
      </c>
      <c r="H250" s="33" t="s">
        <v>4</v>
      </c>
      <c r="I250" s="33" t="s">
        <v>4</v>
      </c>
      <c r="J250" s="1">
        <f>J251</f>
        <v>0</v>
      </c>
      <c r="K250" s="1">
        <f>K251</f>
        <v>0</v>
      </c>
      <c r="L250" s="1">
        <f>L251</f>
        <v>0</v>
      </c>
      <c r="M250" s="1">
        <f>M251</f>
        <v>0</v>
      </c>
      <c r="N250" s="12" t="s">
        <v>56</v>
      </c>
      <c r="O250" s="1">
        <f>O251</f>
        <v>0</v>
      </c>
      <c r="P250" s="34" t="s">
        <v>56</v>
      </c>
    </row>
    <row r="251" spans="1:76" ht="14.6" x14ac:dyDescent="0.4">
      <c r="A251" s="31" t="s">
        <v>56</v>
      </c>
      <c r="B251" s="32" t="s">
        <v>530</v>
      </c>
      <c r="C251" s="32" t="s">
        <v>532</v>
      </c>
      <c r="D251" s="92" t="s">
        <v>533</v>
      </c>
      <c r="E251" s="93"/>
      <c r="F251" s="33" t="s">
        <v>4</v>
      </c>
      <c r="G251" s="33" t="s">
        <v>4</v>
      </c>
      <c r="H251" s="33" t="s">
        <v>4</v>
      </c>
      <c r="I251" s="33" t="s">
        <v>4</v>
      </c>
      <c r="J251" s="1">
        <f>SUM(J252:J274)</f>
        <v>0</v>
      </c>
      <c r="K251" s="1">
        <f>SUM(K252:K274)</f>
        <v>0</v>
      </c>
      <c r="L251" s="1">
        <f>SUM(L252:L274)</f>
        <v>0</v>
      </c>
      <c r="M251" s="1">
        <f>SUM(M252:M274)</f>
        <v>0</v>
      </c>
      <c r="N251" s="12" t="s">
        <v>56</v>
      </c>
      <c r="O251" s="1">
        <f>SUM(O252:O274)</f>
        <v>0</v>
      </c>
      <c r="P251" s="34" t="s">
        <v>56</v>
      </c>
      <c r="AI251" s="12" t="s">
        <v>530</v>
      </c>
      <c r="AS251" s="1">
        <f>SUM(AJ252:AJ274)</f>
        <v>0</v>
      </c>
      <c r="AT251" s="1">
        <f>SUM(AK252:AK274)</f>
        <v>0</v>
      </c>
      <c r="AU251" s="1">
        <f>SUM(AL252:AL274)</f>
        <v>0</v>
      </c>
    </row>
    <row r="252" spans="1:76" ht="14.6" x14ac:dyDescent="0.4">
      <c r="A252" s="2" t="s">
        <v>534</v>
      </c>
      <c r="B252" s="3" t="s">
        <v>530</v>
      </c>
      <c r="C252" s="3" t="s">
        <v>535</v>
      </c>
      <c r="D252" s="83" t="s">
        <v>536</v>
      </c>
      <c r="E252" s="84"/>
      <c r="F252" s="3" t="s">
        <v>537</v>
      </c>
      <c r="G252" s="35">
        <v>1</v>
      </c>
      <c r="H252" s="82"/>
      <c r="I252" s="36" t="s">
        <v>65</v>
      </c>
      <c r="J252" s="35">
        <f>G252*AO252</f>
        <v>0</v>
      </c>
      <c r="K252" s="35">
        <f>G252*AP252</f>
        <v>0</v>
      </c>
      <c r="L252" s="35">
        <f>G252*H252</f>
        <v>0</v>
      </c>
      <c r="M252" s="35">
        <f>L252*(1+BW252/100)</f>
        <v>0</v>
      </c>
      <c r="N252" s="35">
        <v>0</v>
      </c>
      <c r="O252" s="35">
        <f>G252*N252</f>
        <v>0</v>
      </c>
      <c r="P252" s="37" t="s">
        <v>66</v>
      </c>
      <c r="Z252" s="35">
        <f>IF(AQ252="5",BJ252,0)</f>
        <v>0</v>
      </c>
      <c r="AB252" s="35">
        <f>IF(AQ252="1",BH252,0)</f>
        <v>0</v>
      </c>
      <c r="AC252" s="35">
        <f>IF(AQ252="1",BI252,0)</f>
        <v>0</v>
      </c>
      <c r="AD252" s="35">
        <f>IF(AQ252="7",BH252,0)</f>
        <v>0</v>
      </c>
      <c r="AE252" s="35">
        <f>IF(AQ252="7",BI252,0)</f>
        <v>0</v>
      </c>
      <c r="AF252" s="35">
        <f>IF(AQ252="2",BH252,0)</f>
        <v>0</v>
      </c>
      <c r="AG252" s="35">
        <f>IF(AQ252="2",BI252,0)</f>
        <v>0</v>
      </c>
      <c r="AH252" s="35">
        <f>IF(AQ252="0",BJ252,0)</f>
        <v>0</v>
      </c>
      <c r="AI252" s="12" t="s">
        <v>530</v>
      </c>
      <c r="AJ252" s="35">
        <f>IF(AN252=0,L252,0)</f>
        <v>0</v>
      </c>
      <c r="AK252" s="35">
        <f>IF(AN252=12,L252,0)</f>
        <v>0</v>
      </c>
      <c r="AL252" s="35">
        <f>IF(AN252=21,L252,0)</f>
        <v>0</v>
      </c>
      <c r="AN252" s="35">
        <v>21</v>
      </c>
      <c r="AO252" s="35">
        <f>H252*0</f>
        <v>0</v>
      </c>
      <c r="AP252" s="35">
        <f>H252*(1-0)</f>
        <v>0</v>
      </c>
      <c r="AQ252" s="36" t="s">
        <v>61</v>
      </c>
      <c r="AV252" s="35">
        <f>AW252+AX252</f>
        <v>0</v>
      </c>
      <c r="AW252" s="35">
        <f>G252*AO252</f>
        <v>0</v>
      </c>
      <c r="AX252" s="35">
        <f>G252*AP252</f>
        <v>0</v>
      </c>
      <c r="AY252" s="36" t="s">
        <v>538</v>
      </c>
      <c r="AZ252" s="36" t="s">
        <v>539</v>
      </c>
      <c r="BA252" s="12" t="s">
        <v>540</v>
      </c>
      <c r="BC252" s="35">
        <f>AW252+AX252</f>
        <v>0</v>
      </c>
      <c r="BD252" s="35">
        <f>H252/(100-BE252)*100</f>
        <v>0</v>
      </c>
      <c r="BE252" s="35">
        <v>0</v>
      </c>
      <c r="BF252" s="35">
        <f>O252</f>
        <v>0</v>
      </c>
      <c r="BH252" s="35">
        <f>G252*AO252</f>
        <v>0</v>
      </c>
      <c r="BI252" s="35">
        <f>G252*AP252</f>
        <v>0</v>
      </c>
      <c r="BJ252" s="35">
        <f>G252*H252</f>
        <v>0</v>
      </c>
      <c r="BK252" s="35"/>
      <c r="BL252" s="35"/>
      <c r="BW252" s="35" t="str">
        <f>I252</f>
        <v>21</v>
      </c>
      <c r="BX252" s="4" t="s">
        <v>536</v>
      </c>
    </row>
    <row r="253" spans="1:76" ht="67.5" customHeight="1" x14ac:dyDescent="0.4">
      <c r="A253" s="38"/>
      <c r="C253" s="44" t="s">
        <v>165</v>
      </c>
      <c r="D253" s="89" t="s">
        <v>541</v>
      </c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1"/>
    </row>
    <row r="254" spans="1:76" ht="14.6" x14ac:dyDescent="0.4">
      <c r="A254" s="2" t="s">
        <v>542</v>
      </c>
      <c r="B254" s="3" t="s">
        <v>530</v>
      </c>
      <c r="C254" s="3" t="s">
        <v>535</v>
      </c>
      <c r="D254" s="83" t="s">
        <v>543</v>
      </c>
      <c r="E254" s="84"/>
      <c r="F254" s="3" t="s">
        <v>537</v>
      </c>
      <c r="G254" s="35">
        <v>1</v>
      </c>
      <c r="H254" s="82"/>
      <c r="I254" s="36" t="s">
        <v>65</v>
      </c>
      <c r="J254" s="35">
        <f>G254*AO254</f>
        <v>0</v>
      </c>
      <c r="K254" s="35">
        <f>G254*AP254</f>
        <v>0</v>
      </c>
      <c r="L254" s="35">
        <f>G254*H254</f>
        <v>0</v>
      </c>
      <c r="M254" s="35">
        <f>L254*(1+BW254/100)</f>
        <v>0</v>
      </c>
      <c r="N254" s="35">
        <v>0</v>
      </c>
      <c r="O254" s="35">
        <f>G254*N254</f>
        <v>0</v>
      </c>
      <c r="P254" s="37" t="s">
        <v>66</v>
      </c>
      <c r="Z254" s="35">
        <f>IF(AQ254="5",BJ254,0)</f>
        <v>0</v>
      </c>
      <c r="AB254" s="35">
        <f>IF(AQ254="1",BH254,0)</f>
        <v>0</v>
      </c>
      <c r="AC254" s="35">
        <f>IF(AQ254="1",BI254,0)</f>
        <v>0</v>
      </c>
      <c r="AD254" s="35">
        <f>IF(AQ254="7",BH254,0)</f>
        <v>0</v>
      </c>
      <c r="AE254" s="35">
        <f>IF(AQ254="7",BI254,0)</f>
        <v>0</v>
      </c>
      <c r="AF254" s="35">
        <f>IF(AQ254="2",BH254,0)</f>
        <v>0</v>
      </c>
      <c r="AG254" s="35">
        <f>IF(AQ254="2",BI254,0)</f>
        <v>0</v>
      </c>
      <c r="AH254" s="35">
        <f>IF(AQ254="0",BJ254,0)</f>
        <v>0</v>
      </c>
      <c r="AI254" s="12" t="s">
        <v>530</v>
      </c>
      <c r="AJ254" s="35">
        <f>IF(AN254=0,L254,0)</f>
        <v>0</v>
      </c>
      <c r="AK254" s="35">
        <f>IF(AN254=12,L254,0)</f>
        <v>0</v>
      </c>
      <c r="AL254" s="35">
        <f>IF(AN254=21,L254,0)</f>
        <v>0</v>
      </c>
      <c r="AN254" s="35">
        <v>21</v>
      </c>
      <c r="AO254" s="35">
        <f>H254*0</f>
        <v>0</v>
      </c>
      <c r="AP254" s="35">
        <f>H254*(1-0)</f>
        <v>0</v>
      </c>
      <c r="AQ254" s="36" t="s">
        <v>61</v>
      </c>
      <c r="AV254" s="35">
        <f>AW254+AX254</f>
        <v>0</v>
      </c>
      <c r="AW254" s="35">
        <f>G254*AO254</f>
        <v>0</v>
      </c>
      <c r="AX254" s="35">
        <f>G254*AP254</f>
        <v>0</v>
      </c>
      <c r="AY254" s="36" t="s">
        <v>538</v>
      </c>
      <c r="AZ254" s="36" t="s">
        <v>539</v>
      </c>
      <c r="BA254" s="12" t="s">
        <v>540</v>
      </c>
      <c r="BC254" s="35">
        <f>AW254+AX254</f>
        <v>0</v>
      </c>
      <c r="BD254" s="35">
        <f>H254/(100-BE254)*100</f>
        <v>0</v>
      </c>
      <c r="BE254" s="35">
        <v>0</v>
      </c>
      <c r="BF254" s="35">
        <f>O254</f>
        <v>0</v>
      </c>
      <c r="BH254" s="35">
        <f>G254*AO254</f>
        <v>0</v>
      </c>
      <c r="BI254" s="35">
        <f>G254*AP254</f>
        <v>0</v>
      </c>
      <c r="BJ254" s="35">
        <f>G254*H254</f>
        <v>0</v>
      </c>
      <c r="BK254" s="35"/>
      <c r="BL254" s="35"/>
      <c r="BW254" s="35" t="str">
        <f>I254</f>
        <v>21</v>
      </c>
      <c r="BX254" s="4" t="s">
        <v>543</v>
      </c>
    </row>
    <row r="255" spans="1:76" ht="13.5" customHeight="1" x14ac:dyDescent="0.4">
      <c r="A255" s="38"/>
      <c r="C255" s="44" t="s">
        <v>165</v>
      </c>
      <c r="D255" s="89" t="s">
        <v>544</v>
      </c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1"/>
    </row>
    <row r="256" spans="1:76" ht="14.6" x14ac:dyDescent="0.4">
      <c r="A256" s="2" t="s">
        <v>545</v>
      </c>
      <c r="B256" s="3" t="s">
        <v>530</v>
      </c>
      <c r="C256" s="3" t="s">
        <v>535</v>
      </c>
      <c r="D256" s="83" t="s">
        <v>546</v>
      </c>
      <c r="E256" s="84"/>
      <c r="F256" s="3" t="s">
        <v>537</v>
      </c>
      <c r="G256" s="35">
        <v>1</v>
      </c>
      <c r="H256" s="82"/>
      <c r="I256" s="36" t="s">
        <v>65</v>
      </c>
      <c r="J256" s="35">
        <f>G256*AO256</f>
        <v>0</v>
      </c>
      <c r="K256" s="35">
        <f>G256*AP256</f>
        <v>0</v>
      </c>
      <c r="L256" s="35">
        <f>G256*H256</f>
        <v>0</v>
      </c>
      <c r="M256" s="35">
        <f>L256*(1+BW256/100)</f>
        <v>0</v>
      </c>
      <c r="N256" s="35">
        <v>0</v>
      </c>
      <c r="O256" s="35">
        <f>G256*N256</f>
        <v>0</v>
      </c>
      <c r="P256" s="37" t="s">
        <v>66</v>
      </c>
      <c r="Z256" s="35">
        <f>IF(AQ256="5",BJ256,0)</f>
        <v>0</v>
      </c>
      <c r="AB256" s="35">
        <f>IF(AQ256="1",BH256,0)</f>
        <v>0</v>
      </c>
      <c r="AC256" s="35">
        <f>IF(AQ256="1",BI256,0)</f>
        <v>0</v>
      </c>
      <c r="AD256" s="35">
        <f>IF(AQ256="7",BH256,0)</f>
        <v>0</v>
      </c>
      <c r="AE256" s="35">
        <f>IF(AQ256="7",BI256,0)</f>
        <v>0</v>
      </c>
      <c r="AF256" s="35">
        <f>IF(AQ256="2",BH256,0)</f>
        <v>0</v>
      </c>
      <c r="AG256" s="35">
        <f>IF(AQ256="2",BI256,0)</f>
        <v>0</v>
      </c>
      <c r="AH256" s="35">
        <f>IF(AQ256="0",BJ256,0)</f>
        <v>0</v>
      </c>
      <c r="AI256" s="12" t="s">
        <v>530</v>
      </c>
      <c r="AJ256" s="35">
        <f>IF(AN256=0,L256,0)</f>
        <v>0</v>
      </c>
      <c r="AK256" s="35">
        <f>IF(AN256=12,L256,0)</f>
        <v>0</v>
      </c>
      <c r="AL256" s="35">
        <f>IF(AN256=21,L256,0)</f>
        <v>0</v>
      </c>
      <c r="AN256" s="35">
        <v>21</v>
      </c>
      <c r="AO256" s="35">
        <f>H256*0</f>
        <v>0</v>
      </c>
      <c r="AP256" s="35">
        <f>H256*(1-0)</f>
        <v>0</v>
      </c>
      <c r="AQ256" s="36" t="s">
        <v>61</v>
      </c>
      <c r="AV256" s="35">
        <f>AW256+AX256</f>
        <v>0</v>
      </c>
      <c r="AW256" s="35">
        <f>G256*AO256</f>
        <v>0</v>
      </c>
      <c r="AX256" s="35">
        <f>G256*AP256</f>
        <v>0</v>
      </c>
      <c r="AY256" s="36" t="s">
        <v>538</v>
      </c>
      <c r="AZ256" s="36" t="s">
        <v>539</v>
      </c>
      <c r="BA256" s="12" t="s">
        <v>540</v>
      </c>
      <c r="BC256" s="35">
        <f>AW256+AX256</f>
        <v>0</v>
      </c>
      <c r="BD256" s="35">
        <f>H256/(100-BE256)*100</f>
        <v>0</v>
      </c>
      <c r="BE256" s="35">
        <v>0</v>
      </c>
      <c r="BF256" s="35">
        <f>O256</f>
        <v>0</v>
      </c>
      <c r="BH256" s="35">
        <f>G256*AO256</f>
        <v>0</v>
      </c>
      <c r="BI256" s="35">
        <f>G256*AP256</f>
        <v>0</v>
      </c>
      <c r="BJ256" s="35">
        <f>G256*H256</f>
        <v>0</v>
      </c>
      <c r="BK256" s="35"/>
      <c r="BL256" s="35"/>
      <c r="BW256" s="35" t="str">
        <f>I256</f>
        <v>21</v>
      </c>
      <c r="BX256" s="4" t="s">
        <v>546</v>
      </c>
    </row>
    <row r="257" spans="1:76" ht="40.5" customHeight="1" x14ac:dyDescent="0.4">
      <c r="A257" s="38"/>
      <c r="C257" s="44" t="s">
        <v>165</v>
      </c>
      <c r="D257" s="89" t="s">
        <v>547</v>
      </c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1"/>
    </row>
    <row r="258" spans="1:76" ht="14.6" x14ac:dyDescent="0.4">
      <c r="A258" s="2" t="s">
        <v>548</v>
      </c>
      <c r="B258" s="3" t="s">
        <v>530</v>
      </c>
      <c r="C258" s="3" t="s">
        <v>535</v>
      </c>
      <c r="D258" s="83" t="s">
        <v>549</v>
      </c>
      <c r="E258" s="84"/>
      <c r="F258" s="3" t="s">
        <v>537</v>
      </c>
      <c r="G258" s="35">
        <v>1</v>
      </c>
      <c r="H258" s="82"/>
      <c r="I258" s="36" t="s">
        <v>65</v>
      </c>
      <c r="J258" s="35">
        <f>G258*AO258</f>
        <v>0</v>
      </c>
      <c r="K258" s="35">
        <f>G258*AP258</f>
        <v>0</v>
      </c>
      <c r="L258" s="35">
        <f>G258*H258</f>
        <v>0</v>
      </c>
      <c r="M258" s="35">
        <f>L258*(1+BW258/100)</f>
        <v>0</v>
      </c>
      <c r="N258" s="35">
        <v>0</v>
      </c>
      <c r="O258" s="35">
        <f>G258*N258</f>
        <v>0</v>
      </c>
      <c r="P258" s="37" t="s">
        <v>66</v>
      </c>
      <c r="Z258" s="35">
        <f>IF(AQ258="5",BJ258,0)</f>
        <v>0</v>
      </c>
      <c r="AB258" s="35">
        <f>IF(AQ258="1",BH258,0)</f>
        <v>0</v>
      </c>
      <c r="AC258" s="35">
        <f>IF(AQ258="1",BI258,0)</f>
        <v>0</v>
      </c>
      <c r="AD258" s="35">
        <f>IF(AQ258="7",BH258,0)</f>
        <v>0</v>
      </c>
      <c r="AE258" s="35">
        <f>IF(AQ258="7",BI258,0)</f>
        <v>0</v>
      </c>
      <c r="AF258" s="35">
        <f>IF(AQ258="2",BH258,0)</f>
        <v>0</v>
      </c>
      <c r="AG258" s="35">
        <f>IF(AQ258="2",BI258,0)</f>
        <v>0</v>
      </c>
      <c r="AH258" s="35">
        <f>IF(AQ258="0",BJ258,0)</f>
        <v>0</v>
      </c>
      <c r="AI258" s="12" t="s">
        <v>530</v>
      </c>
      <c r="AJ258" s="35">
        <f>IF(AN258=0,L258,0)</f>
        <v>0</v>
      </c>
      <c r="AK258" s="35">
        <f>IF(AN258=12,L258,0)</f>
        <v>0</v>
      </c>
      <c r="AL258" s="35">
        <f>IF(AN258=21,L258,0)</f>
        <v>0</v>
      </c>
      <c r="AN258" s="35">
        <v>21</v>
      </c>
      <c r="AO258" s="35">
        <f>H258*0</f>
        <v>0</v>
      </c>
      <c r="AP258" s="35">
        <f>H258*(1-0)</f>
        <v>0</v>
      </c>
      <c r="AQ258" s="36" t="s">
        <v>61</v>
      </c>
      <c r="AV258" s="35">
        <f>AW258+AX258</f>
        <v>0</v>
      </c>
      <c r="AW258" s="35">
        <f>G258*AO258</f>
        <v>0</v>
      </c>
      <c r="AX258" s="35">
        <f>G258*AP258</f>
        <v>0</v>
      </c>
      <c r="AY258" s="36" t="s">
        <v>538</v>
      </c>
      <c r="AZ258" s="36" t="s">
        <v>539</v>
      </c>
      <c r="BA258" s="12" t="s">
        <v>540</v>
      </c>
      <c r="BC258" s="35">
        <f>AW258+AX258</f>
        <v>0</v>
      </c>
      <c r="BD258" s="35">
        <f>H258/(100-BE258)*100</f>
        <v>0</v>
      </c>
      <c r="BE258" s="35">
        <v>0</v>
      </c>
      <c r="BF258" s="35">
        <f>O258</f>
        <v>0</v>
      </c>
      <c r="BH258" s="35">
        <f>G258*AO258</f>
        <v>0</v>
      </c>
      <c r="BI258" s="35">
        <f>G258*AP258</f>
        <v>0</v>
      </c>
      <c r="BJ258" s="35">
        <f>G258*H258</f>
        <v>0</v>
      </c>
      <c r="BK258" s="35"/>
      <c r="BL258" s="35"/>
      <c r="BW258" s="35" t="str">
        <f>I258</f>
        <v>21</v>
      </c>
      <c r="BX258" s="4" t="s">
        <v>549</v>
      </c>
    </row>
    <row r="259" spans="1:76" ht="13.5" customHeight="1" x14ac:dyDescent="0.4">
      <c r="A259" s="38"/>
      <c r="C259" s="44" t="s">
        <v>165</v>
      </c>
      <c r="D259" s="89" t="s">
        <v>550</v>
      </c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1"/>
    </row>
    <row r="260" spans="1:76" ht="14.6" x14ac:dyDescent="0.4">
      <c r="A260" s="2" t="s">
        <v>551</v>
      </c>
      <c r="B260" s="3" t="s">
        <v>530</v>
      </c>
      <c r="C260" s="3" t="s">
        <v>535</v>
      </c>
      <c r="D260" s="83" t="s">
        <v>552</v>
      </c>
      <c r="E260" s="84"/>
      <c r="F260" s="3" t="s">
        <v>537</v>
      </c>
      <c r="G260" s="35">
        <v>1</v>
      </c>
      <c r="H260" s="82"/>
      <c r="I260" s="36" t="s">
        <v>65</v>
      </c>
      <c r="J260" s="35">
        <f>G260*AO260</f>
        <v>0</v>
      </c>
      <c r="K260" s="35">
        <f>G260*AP260</f>
        <v>0</v>
      </c>
      <c r="L260" s="35">
        <f>G260*H260</f>
        <v>0</v>
      </c>
      <c r="M260" s="35">
        <f>L260*(1+BW260/100)</f>
        <v>0</v>
      </c>
      <c r="N260" s="35">
        <v>0</v>
      </c>
      <c r="O260" s="35">
        <f>G260*N260</f>
        <v>0</v>
      </c>
      <c r="P260" s="37" t="s">
        <v>66</v>
      </c>
      <c r="Z260" s="35">
        <f>IF(AQ260="5",BJ260,0)</f>
        <v>0</v>
      </c>
      <c r="AB260" s="35">
        <f>IF(AQ260="1",BH260,0)</f>
        <v>0</v>
      </c>
      <c r="AC260" s="35">
        <f>IF(AQ260="1",BI260,0)</f>
        <v>0</v>
      </c>
      <c r="AD260" s="35">
        <f>IF(AQ260="7",BH260,0)</f>
        <v>0</v>
      </c>
      <c r="AE260" s="35">
        <f>IF(AQ260="7",BI260,0)</f>
        <v>0</v>
      </c>
      <c r="AF260" s="35">
        <f>IF(AQ260="2",BH260,0)</f>
        <v>0</v>
      </c>
      <c r="AG260" s="35">
        <f>IF(AQ260="2",BI260,0)</f>
        <v>0</v>
      </c>
      <c r="AH260" s="35">
        <f>IF(AQ260="0",BJ260,0)</f>
        <v>0</v>
      </c>
      <c r="AI260" s="12" t="s">
        <v>530</v>
      </c>
      <c r="AJ260" s="35">
        <f>IF(AN260=0,L260,0)</f>
        <v>0</v>
      </c>
      <c r="AK260" s="35">
        <f>IF(AN260=12,L260,0)</f>
        <v>0</v>
      </c>
      <c r="AL260" s="35">
        <f>IF(AN260=21,L260,0)</f>
        <v>0</v>
      </c>
      <c r="AN260" s="35">
        <v>21</v>
      </c>
      <c r="AO260" s="35">
        <f>H260*0</f>
        <v>0</v>
      </c>
      <c r="AP260" s="35">
        <f>H260*(1-0)</f>
        <v>0</v>
      </c>
      <c r="AQ260" s="36" t="s">
        <v>61</v>
      </c>
      <c r="AV260" s="35">
        <f>AW260+AX260</f>
        <v>0</v>
      </c>
      <c r="AW260" s="35">
        <f>G260*AO260</f>
        <v>0</v>
      </c>
      <c r="AX260" s="35">
        <f>G260*AP260</f>
        <v>0</v>
      </c>
      <c r="AY260" s="36" t="s">
        <v>538</v>
      </c>
      <c r="AZ260" s="36" t="s">
        <v>539</v>
      </c>
      <c r="BA260" s="12" t="s">
        <v>540</v>
      </c>
      <c r="BC260" s="35">
        <f>AW260+AX260</f>
        <v>0</v>
      </c>
      <c r="BD260" s="35">
        <f>H260/(100-BE260)*100</f>
        <v>0</v>
      </c>
      <c r="BE260" s="35">
        <v>0</v>
      </c>
      <c r="BF260" s="35">
        <f>O260</f>
        <v>0</v>
      </c>
      <c r="BH260" s="35">
        <f>G260*AO260</f>
        <v>0</v>
      </c>
      <c r="BI260" s="35">
        <f>G260*AP260</f>
        <v>0</v>
      </c>
      <c r="BJ260" s="35">
        <f>G260*H260</f>
        <v>0</v>
      </c>
      <c r="BK260" s="35"/>
      <c r="BL260" s="35"/>
      <c r="BW260" s="35" t="str">
        <f>I260</f>
        <v>21</v>
      </c>
      <c r="BX260" s="4" t="s">
        <v>552</v>
      </c>
    </row>
    <row r="261" spans="1:76" ht="27" customHeight="1" x14ac:dyDescent="0.4">
      <c r="A261" s="38"/>
      <c r="C261" s="44" t="s">
        <v>165</v>
      </c>
      <c r="D261" s="89" t="s">
        <v>553</v>
      </c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1"/>
    </row>
    <row r="262" spans="1:76" ht="14.6" x14ac:dyDescent="0.4">
      <c r="A262" s="2" t="s">
        <v>554</v>
      </c>
      <c r="B262" s="3" t="s">
        <v>530</v>
      </c>
      <c r="C262" s="3" t="s">
        <v>535</v>
      </c>
      <c r="D262" s="83" t="s">
        <v>555</v>
      </c>
      <c r="E262" s="84"/>
      <c r="F262" s="3" t="s">
        <v>537</v>
      </c>
      <c r="G262" s="35">
        <v>1</v>
      </c>
      <c r="H262" s="82"/>
      <c r="I262" s="36" t="s">
        <v>65</v>
      </c>
      <c r="J262" s="35">
        <f>G262*AO262</f>
        <v>0</v>
      </c>
      <c r="K262" s="35">
        <f>G262*AP262</f>
        <v>0</v>
      </c>
      <c r="L262" s="35">
        <f>G262*H262</f>
        <v>0</v>
      </c>
      <c r="M262" s="35">
        <f>L262*(1+BW262/100)</f>
        <v>0</v>
      </c>
      <c r="N262" s="35">
        <v>0</v>
      </c>
      <c r="O262" s="35">
        <f>G262*N262</f>
        <v>0</v>
      </c>
      <c r="P262" s="37" t="s">
        <v>66</v>
      </c>
      <c r="Z262" s="35">
        <f>IF(AQ262="5",BJ262,0)</f>
        <v>0</v>
      </c>
      <c r="AB262" s="35">
        <f>IF(AQ262="1",BH262,0)</f>
        <v>0</v>
      </c>
      <c r="AC262" s="35">
        <f>IF(AQ262="1",BI262,0)</f>
        <v>0</v>
      </c>
      <c r="AD262" s="35">
        <f>IF(AQ262="7",BH262,0)</f>
        <v>0</v>
      </c>
      <c r="AE262" s="35">
        <f>IF(AQ262="7",BI262,0)</f>
        <v>0</v>
      </c>
      <c r="AF262" s="35">
        <f>IF(AQ262="2",BH262,0)</f>
        <v>0</v>
      </c>
      <c r="AG262" s="35">
        <f>IF(AQ262="2",BI262,0)</f>
        <v>0</v>
      </c>
      <c r="AH262" s="35">
        <f>IF(AQ262="0",BJ262,0)</f>
        <v>0</v>
      </c>
      <c r="AI262" s="12" t="s">
        <v>530</v>
      </c>
      <c r="AJ262" s="35">
        <f>IF(AN262=0,L262,0)</f>
        <v>0</v>
      </c>
      <c r="AK262" s="35">
        <f>IF(AN262=12,L262,0)</f>
        <v>0</v>
      </c>
      <c r="AL262" s="35">
        <f>IF(AN262=21,L262,0)</f>
        <v>0</v>
      </c>
      <c r="AN262" s="35">
        <v>21</v>
      </c>
      <c r="AO262" s="35">
        <f>H262*0</f>
        <v>0</v>
      </c>
      <c r="AP262" s="35">
        <f>H262*(1-0)</f>
        <v>0</v>
      </c>
      <c r="AQ262" s="36" t="s">
        <v>61</v>
      </c>
      <c r="AV262" s="35">
        <f>AW262+AX262</f>
        <v>0</v>
      </c>
      <c r="AW262" s="35">
        <f>G262*AO262</f>
        <v>0</v>
      </c>
      <c r="AX262" s="35">
        <f>G262*AP262</f>
        <v>0</v>
      </c>
      <c r="AY262" s="36" t="s">
        <v>538</v>
      </c>
      <c r="AZ262" s="36" t="s">
        <v>539</v>
      </c>
      <c r="BA262" s="12" t="s">
        <v>540</v>
      </c>
      <c r="BC262" s="35">
        <f>AW262+AX262</f>
        <v>0</v>
      </c>
      <c r="BD262" s="35">
        <f>H262/(100-BE262)*100</f>
        <v>0</v>
      </c>
      <c r="BE262" s="35">
        <v>0</v>
      </c>
      <c r="BF262" s="35">
        <f>O262</f>
        <v>0</v>
      </c>
      <c r="BH262" s="35">
        <f>G262*AO262</f>
        <v>0</v>
      </c>
      <c r="BI262" s="35">
        <f>G262*AP262</f>
        <v>0</v>
      </c>
      <c r="BJ262" s="35">
        <f>G262*H262</f>
        <v>0</v>
      </c>
      <c r="BK262" s="35"/>
      <c r="BL262" s="35"/>
      <c r="BW262" s="35" t="str">
        <f>I262</f>
        <v>21</v>
      </c>
      <c r="BX262" s="4" t="s">
        <v>555</v>
      </c>
    </row>
    <row r="263" spans="1:76" ht="13.5" customHeight="1" x14ac:dyDescent="0.4">
      <c r="A263" s="38"/>
      <c r="C263" s="44" t="s">
        <v>165</v>
      </c>
      <c r="D263" s="89" t="s">
        <v>556</v>
      </c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1"/>
    </row>
    <row r="264" spans="1:76" ht="14.6" x14ac:dyDescent="0.4">
      <c r="A264" s="2" t="s">
        <v>557</v>
      </c>
      <c r="B264" s="3" t="s">
        <v>530</v>
      </c>
      <c r="C264" s="3" t="s">
        <v>535</v>
      </c>
      <c r="D264" s="83" t="s">
        <v>558</v>
      </c>
      <c r="E264" s="84"/>
      <c r="F264" s="3" t="s">
        <v>537</v>
      </c>
      <c r="G264" s="35">
        <v>1</v>
      </c>
      <c r="H264" s="82"/>
      <c r="I264" s="36" t="s">
        <v>65</v>
      </c>
      <c r="J264" s="35">
        <f>G264*AO264</f>
        <v>0</v>
      </c>
      <c r="K264" s="35">
        <f>G264*AP264</f>
        <v>0</v>
      </c>
      <c r="L264" s="35">
        <f>G264*H264</f>
        <v>0</v>
      </c>
      <c r="M264" s="35">
        <f>L264*(1+BW264/100)</f>
        <v>0</v>
      </c>
      <c r="N264" s="35">
        <v>0</v>
      </c>
      <c r="O264" s="35">
        <f>G264*N264</f>
        <v>0</v>
      </c>
      <c r="P264" s="37" t="s">
        <v>66</v>
      </c>
      <c r="Z264" s="35">
        <f>IF(AQ264="5",BJ264,0)</f>
        <v>0</v>
      </c>
      <c r="AB264" s="35">
        <f>IF(AQ264="1",BH264,0)</f>
        <v>0</v>
      </c>
      <c r="AC264" s="35">
        <f>IF(AQ264="1",BI264,0)</f>
        <v>0</v>
      </c>
      <c r="AD264" s="35">
        <f>IF(AQ264="7",BH264,0)</f>
        <v>0</v>
      </c>
      <c r="AE264" s="35">
        <f>IF(AQ264="7",BI264,0)</f>
        <v>0</v>
      </c>
      <c r="AF264" s="35">
        <f>IF(AQ264="2",BH264,0)</f>
        <v>0</v>
      </c>
      <c r="AG264" s="35">
        <f>IF(AQ264="2",BI264,0)</f>
        <v>0</v>
      </c>
      <c r="AH264" s="35">
        <f>IF(AQ264="0",BJ264,0)</f>
        <v>0</v>
      </c>
      <c r="AI264" s="12" t="s">
        <v>530</v>
      </c>
      <c r="AJ264" s="35">
        <f>IF(AN264=0,L264,0)</f>
        <v>0</v>
      </c>
      <c r="AK264" s="35">
        <f>IF(AN264=12,L264,0)</f>
        <v>0</v>
      </c>
      <c r="AL264" s="35">
        <f>IF(AN264=21,L264,0)</f>
        <v>0</v>
      </c>
      <c r="AN264" s="35">
        <v>21</v>
      </c>
      <c r="AO264" s="35">
        <f>H264*0</f>
        <v>0</v>
      </c>
      <c r="AP264" s="35">
        <f>H264*(1-0)</f>
        <v>0</v>
      </c>
      <c r="AQ264" s="36" t="s">
        <v>61</v>
      </c>
      <c r="AV264" s="35">
        <f>AW264+AX264</f>
        <v>0</v>
      </c>
      <c r="AW264" s="35">
        <f>G264*AO264</f>
        <v>0</v>
      </c>
      <c r="AX264" s="35">
        <f>G264*AP264</f>
        <v>0</v>
      </c>
      <c r="AY264" s="36" t="s">
        <v>538</v>
      </c>
      <c r="AZ264" s="36" t="s">
        <v>539</v>
      </c>
      <c r="BA264" s="12" t="s">
        <v>540</v>
      </c>
      <c r="BC264" s="35">
        <f>AW264+AX264</f>
        <v>0</v>
      </c>
      <c r="BD264" s="35">
        <f>H264/(100-BE264)*100</f>
        <v>0</v>
      </c>
      <c r="BE264" s="35">
        <v>0</v>
      </c>
      <c r="BF264" s="35">
        <f>O264</f>
        <v>0</v>
      </c>
      <c r="BH264" s="35">
        <f>G264*AO264</f>
        <v>0</v>
      </c>
      <c r="BI264" s="35">
        <f>G264*AP264</f>
        <v>0</v>
      </c>
      <c r="BJ264" s="35">
        <f>G264*H264</f>
        <v>0</v>
      </c>
      <c r="BK264" s="35"/>
      <c r="BL264" s="35"/>
      <c r="BW264" s="35" t="str">
        <f>I264</f>
        <v>21</v>
      </c>
      <c r="BX264" s="4" t="s">
        <v>558</v>
      </c>
    </row>
    <row r="265" spans="1:76" ht="13.5" customHeight="1" x14ac:dyDescent="0.4">
      <c r="A265" s="38"/>
      <c r="C265" s="44" t="s">
        <v>165</v>
      </c>
      <c r="D265" s="89" t="s">
        <v>559</v>
      </c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1"/>
    </row>
    <row r="266" spans="1:76" ht="14.6" x14ac:dyDescent="0.4">
      <c r="A266" s="2" t="s">
        <v>560</v>
      </c>
      <c r="B266" s="3" t="s">
        <v>530</v>
      </c>
      <c r="C266" s="3" t="s">
        <v>535</v>
      </c>
      <c r="D266" s="83" t="s">
        <v>561</v>
      </c>
      <c r="E266" s="84"/>
      <c r="F266" s="3" t="s">
        <v>537</v>
      </c>
      <c r="G266" s="35">
        <v>1</v>
      </c>
      <c r="H266" s="82"/>
      <c r="I266" s="36" t="s">
        <v>65</v>
      </c>
      <c r="J266" s="35">
        <f>G266*AO266</f>
        <v>0</v>
      </c>
      <c r="K266" s="35">
        <f>G266*AP266</f>
        <v>0</v>
      </c>
      <c r="L266" s="35">
        <f>G266*H266</f>
        <v>0</v>
      </c>
      <c r="M266" s="35">
        <f>L266*(1+BW266/100)</f>
        <v>0</v>
      </c>
      <c r="N266" s="35">
        <v>0</v>
      </c>
      <c r="O266" s="35">
        <f>G266*N266</f>
        <v>0</v>
      </c>
      <c r="P266" s="37" t="s">
        <v>66</v>
      </c>
      <c r="Z266" s="35">
        <f>IF(AQ266="5",BJ266,0)</f>
        <v>0</v>
      </c>
      <c r="AB266" s="35">
        <f>IF(AQ266="1",BH266,0)</f>
        <v>0</v>
      </c>
      <c r="AC266" s="35">
        <f>IF(AQ266="1",BI266,0)</f>
        <v>0</v>
      </c>
      <c r="AD266" s="35">
        <f>IF(AQ266="7",BH266,0)</f>
        <v>0</v>
      </c>
      <c r="AE266" s="35">
        <f>IF(AQ266="7",BI266,0)</f>
        <v>0</v>
      </c>
      <c r="AF266" s="35">
        <f>IF(AQ266="2",BH266,0)</f>
        <v>0</v>
      </c>
      <c r="AG266" s="35">
        <f>IF(AQ266="2",BI266,0)</f>
        <v>0</v>
      </c>
      <c r="AH266" s="35">
        <f>IF(AQ266="0",BJ266,0)</f>
        <v>0</v>
      </c>
      <c r="AI266" s="12" t="s">
        <v>530</v>
      </c>
      <c r="AJ266" s="35">
        <f>IF(AN266=0,L266,0)</f>
        <v>0</v>
      </c>
      <c r="AK266" s="35">
        <f>IF(AN266=12,L266,0)</f>
        <v>0</v>
      </c>
      <c r="AL266" s="35">
        <f>IF(AN266=21,L266,0)</f>
        <v>0</v>
      </c>
      <c r="AN266" s="35">
        <v>21</v>
      </c>
      <c r="AO266" s="35">
        <f>H266*0</f>
        <v>0</v>
      </c>
      <c r="AP266" s="35">
        <f>H266*(1-0)</f>
        <v>0</v>
      </c>
      <c r="AQ266" s="36" t="s">
        <v>61</v>
      </c>
      <c r="AV266" s="35">
        <f>AW266+AX266</f>
        <v>0</v>
      </c>
      <c r="AW266" s="35">
        <f>G266*AO266</f>
        <v>0</v>
      </c>
      <c r="AX266" s="35">
        <f>G266*AP266</f>
        <v>0</v>
      </c>
      <c r="AY266" s="36" t="s">
        <v>538</v>
      </c>
      <c r="AZ266" s="36" t="s">
        <v>539</v>
      </c>
      <c r="BA266" s="12" t="s">
        <v>540</v>
      </c>
      <c r="BC266" s="35">
        <f>AW266+AX266</f>
        <v>0</v>
      </c>
      <c r="BD266" s="35">
        <f>H266/(100-BE266)*100</f>
        <v>0</v>
      </c>
      <c r="BE266" s="35">
        <v>0</v>
      </c>
      <c r="BF266" s="35">
        <f>O266</f>
        <v>0</v>
      </c>
      <c r="BH266" s="35">
        <f>G266*AO266</f>
        <v>0</v>
      </c>
      <c r="BI266" s="35">
        <f>G266*AP266</f>
        <v>0</v>
      </c>
      <c r="BJ266" s="35">
        <f>G266*H266</f>
        <v>0</v>
      </c>
      <c r="BK266" s="35"/>
      <c r="BL266" s="35"/>
      <c r="BW266" s="35" t="str">
        <f>I266</f>
        <v>21</v>
      </c>
      <c r="BX266" s="4" t="s">
        <v>561</v>
      </c>
    </row>
    <row r="267" spans="1:76" ht="27" customHeight="1" x14ac:dyDescent="0.4">
      <c r="A267" s="38"/>
      <c r="C267" s="44" t="s">
        <v>165</v>
      </c>
      <c r="D267" s="89" t="s">
        <v>562</v>
      </c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1"/>
    </row>
    <row r="268" spans="1:76" ht="14.6" x14ac:dyDescent="0.4">
      <c r="A268" s="2" t="s">
        <v>563</v>
      </c>
      <c r="B268" s="3" t="s">
        <v>530</v>
      </c>
      <c r="C268" s="3" t="s">
        <v>535</v>
      </c>
      <c r="D268" s="83" t="s">
        <v>564</v>
      </c>
      <c r="E268" s="84"/>
      <c r="F268" s="3" t="s">
        <v>537</v>
      </c>
      <c r="G268" s="35">
        <v>1</v>
      </c>
      <c r="H268" s="82"/>
      <c r="I268" s="36" t="s">
        <v>65</v>
      </c>
      <c r="J268" s="35">
        <f>G268*AO268</f>
        <v>0</v>
      </c>
      <c r="K268" s="35">
        <f>G268*AP268</f>
        <v>0</v>
      </c>
      <c r="L268" s="35">
        <f>G268*H268</f>
        <v>0</v>
      </c>
      <c r="M268" s="35">
        <f>L268*(1+BW268/100)</f>
        <v>0</v>
      </c>
      <c r="N268" s="35">
        <v>0</v>
      </c>
      <c r="O268" s="35">
        <f>G268*N268</f>
        <v>0</v>
      </c>
      <c r="P268" s="37" t="s">
        <v>66</v>
      </c>
      <c r="Z268" s="35">
        <f>IF(AQ268="5",BJ268,0)</f>
        <v>0</v>
      </c>
      <c r="AB268" s="35">
        <f>IF(AQ268="1",BH268,0)</f>
        <v>0</v>
      </c>
      <c r="AC268" s="35">
        <f>IF(AQ268="1",BI268,0)</f>
        <v>0</v>
      </c>
      <c r="AD268" s="35">
        <f>IF(AQ268="7",BH268,0)</f>
        <v>0</v>
      </c>
      <c r="AE268" s="35">
        <f>IF(AQ268="7",BI268,0)</f>
        <v>0</v>
      </c>
      <c r="AF268" s="35">
        <f>IF(AQ268="2",BH268,0)</f>
        <v>0</v>
      </c>
      <c r="AG268" s="35">
        <f>IF(AQ268="2",BI268,0)</f>
        <v>0</v>
      </c>
      <c r="AH268" s="35">
        <f>IF(AQ268="0",BJ268,0)</f>
        <v>0</v>
      </c>
      <c r="AI268" s="12" t="s">
        <v>530</v>
      </c>
      <c r="AJ268" s="35">
        <f>IF(AN268=0,L268,0)</f>
        <v>0</v>
      </c>
      <c r="AK268" s="35">
        <f>IF(AN268=12,L268,0)</f>
        <v>0</v>
      </c>
      <c r="AL268" s="35">
        <f>IF(AN268=21,L268,0)</f>
        <v>0</v>
      </c>
      <c r="AN268" s="35">
        <v>21</v>
      </c>
      <c r="AO268" s="35">
        <f>H268*0</f>
        <v>0</v>
      </c>
      <c r="AP268" s="35">
        <f>H268*(1-0)</f>
        <v>0</v>
      </c>
      <c r="AQ268" s="36" t="s">
        <v>61</v>
      </c>
      <c r="AV268" s="35">
        <f>AW268+AX268</f>
        <v>0</v>
      </c>
      <c r="AW268" s="35">
        <f>G268*AO268</f>
        <v>0</v>
      </c>
      <c r="AX268" s="35">
        <f>G268*AP268</f>
        <v>0</v>
      </c>
      <c r="AY268" s="36" t="s">
        <v>538</v>
      </c>
      <c r="AZ268" s="36" t="s">
        <v>539</v>
      </c>
      <c r="BA268" s="12" t="s">
        <v>540</v>
      </c>
      <c r="BC268" s="35">
        <f>AW268+AX268</f>
        <v>0</v>
      </c>
      <c r="BD268" s="35">
        <f>H268/(100-BE268)*100</f>
        <v>0</v>
      </c>
      <c r="BE268" s="35">
        <v>0</v>
      </c>
      <c r="BF268" s="35">
        <f>O268</f>
        <v>0</v>
      </c>
      <c r="BH268" s="35">
        <f>G268*AO268</f>
        <v>0</v>
      </c>
      <c r="BI268" s="35">
        <f>G268*AP268</f>
        <v>0</v>
      </c>
      <c r="BJ268" s="35">
        <f>G268*H268</f>
        <v>0</v>
      </c>
      <c r="BK268" s="35"/>
      <c r="BL268" s="35"/>
      <c r="BW268" s="35" t="str">
        <f>I268</f>
        <v>21</v>
      </c>
      <c r="BX268" s="4" t="s">
        <v>564</v>
      </c>
    </row>
    <row r="269" spans="1:76" ht="13.5" customHeight="1" x14ac:dyDescent="0.4">
      <c r="A269" s="38"/>
      <c r="C269" s="44" t="s">
        <v>165</v>
      </c>
      <c r="D269" s="89" t="s">
        <v>565</v>
      </c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1"/>
    </row>
    <row r="270" spans="1:76" ht="14.6" x14ac:dyDescent="0.4">
      <c r="A270" s="2" t="s">
        <v>566</v>
      </c>
      <c r="B270" s="3" t="s">
        <v>530</v>
      </c>
      <c r="C270" s="3" t="s">
        <v>567</v>
      </c>
      <c r="D270" s="83" t="s">
        <v>568</v>
      </c>
      <c r="E270" s="84"/>
      <c r="F270" s="3" t="s">
        <v>537</v>
      </c>
      <c r="G270" s="35">
        <v>1</v>
      </c>
      <c r="H270" s="82"/>
      <c r="I270" s="36" t="s">
        <v>65</v>
      </c>
      <c r="J270" s="35">
        <f>G270*AO270</f>
        <v>0</v>
      </c>
      <c r="K270" s="35">
        <f>G270*AP270</f>
        <v>0</v>
      </c>
      <c r="L270" s="35">
        <f>G270*H270</f>
        <v>0</v>
      </c>
      <c r="M270" s="35">
        <f>L270*(1+BW270/100)</f>
        <v>0</v>
      </c>
      <c r="N270" s="35">
        <v>0</v>
      </c>
      <c r="O270" s="35">
        <f>G270*N270</f>
        <v>0</v>
      </c>
      <c r="P270" s="37" t="s">
        <v>66</v>
      </c>
      <c r="Z270" s="35">
        <f>IF(AQ270="5",BJ270,0)</f>
        <v>0</v>
      </c>
      <c r="AB270" s="35">
        <f>IF(AQ270="1",BH270,0)</f>
        <v>0</v>
      </c>
      <c r="AC270" s="35">
        <f>IF(AQ270="1",BI270,0)</f>
        <v>0</v>
      </c>
      <c r="AD270" s="35">
        <f>IF(AQ270="7",BH270,0)</f>
        <v>0</v>
      </c>
      <c r="AE270" s="35">
        <f>IF(AQ270="7",BI270,0)</f>
        <v>0</v>
      </c>
      <c r="AF270" s="35">
        <f>IF(AQ270="2",BH270,0)</f>
        <v>0</v>
      </c>
      <c r="AG270" s="35">
        <f>IF(AQ270="2",BI270,0)</f>
        <v>0</v>
      </c>
      <c r="AH270" s="35">
        <f>IF(AQ270="0",BJ270,0)</f>
        <v>0</v>
      </c>
      <c r="AI270" s="12" t="s">
        <v>530</v>
      </c>
      <c r="AJ270" s="35">
        <f>IF(AN270=0,L270,0)</f>
        <v>0</v>
      </c>
      <c r="AK270" s="35">
        <f>IF(AN270=12,L270,0)</f>
        <v>0</v>
      </c>
      <c r="AL270" s="35">
        <f>IF(AN270=21,L270,0)</f>
        <v>0</v>
      </c>
      <c r="AN270" s="35">
        <v>21</v>
      </c>
      <c r="AO270" s="35">
        <f>H270*0</f>
        <v>0</v>
      </c>
      <c r="AP270" s="35">
        <f>H270*(1-0)</f>
        <v>0</v>
      </c>
      <c r="AQ270" s="36" t="s">
        <v>61</v>
      </c>
      <c r="AV270" s="35">
        <f>AW270+AX270</f>
        <v>0</v>
      </c>
      <c r="AW270" s="35">
        <f>G270*AO270</f>
        <v>0</v>
      </c>
      <c r="AX270" s="35">
        <f>G270*AP270</f>
        <v>0</v>
      </c>
      <c r="AY270" s="36" t="s">
        <v>538</v>
      </c>
      <c r="AZ270" s="36" t="s">
        <v>539</v>
      </c>
      <c r="BA270" s="12" t="s">
        <v>540</v>
      </c>
      <c r="BC270" s="35">
        <f>AW270+AX270</f>
        <v>0</v>
      </c>
      <c r="BD270" s="35">
        <f>H270/(100-BE270)*100</f>
        <v>0</v>
      </c>
      <c r="BE270" s="35">
        <v>0</v>
      </c>
      <c r="BF270" s="35">
        <f>O270</f>
        <v>0</v>
      </c>
      <c r="BH270" s="35">
        <f>G270*AO270</f>
        <v>0</v>
      </c>
      <c r="BI270" s="35">
        <f>G270*AP270</f>
        <v>0</v>
      </c>
      <c r="BJ270" s="35">
        <f>G270*H270</f>
        <v>0</v>
      </c>
      <c r="BK270" s="35"/>
      <c r="BL270" s="35"/>
      <c r="BW270" s="35" t="str">
        <f>I270</f>
        <v>21</v>
      </c>
      <c r="BX270" s="4" t="s">
        <v>568</v>
      </c>
    </row>
    <row r="271" spans="1:76" ht="13.5" customHeight="1" x14ac:dyDescent="0.4">
      <c r="A271" s="38"/>
      <c r="C271" s="44" t="s">
        <v>165</v>
      </c>
      <c r="D271" s="89" t="s">
        <v>569</v>
      </c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1"/>
    </row>
    <row r="272" spans="1:76" ht="14.6" x14ac:dyDescent="0.4">
      <c r="A272" s="2" t="s">
        <v>570</v>
      </c>
      <c r="B272" s="3" t="s">
        <v>530</v>
      </c>
      <c r="C272" s="3" t="s">
        <v>567</v>
      </c>
      <c r="D272" s="83" t="s">
        <v>571</v>
      </c>
      <c r="E272" s="84"/>
      <c r="F272" s="3" t="s">
        <v>537</v>
      </c>
      <c r="G272" s="35">
        <v>1</v>
      </c>
      <c r="H272" s="82"/>
      <c r="I272" s="36" t="s">
        <v>65</v>
      </c>
      <c r="J272" s="35">
        <f>G272*AO272</f>
        <v>0</v>
      </c>
      <c r="K272" s="35">
        <f>G272*AP272</f>
        <v>0</v>
      </c>
      <c r="L272" s="35">
        <f>G272*H272</f>
        <v>0</v>
      </c>
      <c r="M272" s="35">
        <f>L272*(1+BW272/100)</f>
        <v>0</v>
      </c>
      <c r="N272" s="35">
        <v>0</v>
      </c>
      <c r="O272" s="35">
        <f>G272*N272</f>
        <v>0</v>
      </c>
      <c r="P272" s="37" t="s">
        <v>66</v>
      </c>
      <c r="Z272" s="35">
        <f>IF(AQ272="5",BJ272,0)</f>
        <v>0</v>
      </c>
      <c r="AB272" s="35">
        <f>IF(AQ272="1",BH272,0)</f>
        <v>0</v>
      </c>
      <c r="AC272" s="35">
        <f>IF(AQ272="1",BI272,0)</f>
        <v>0</v>
      </c>
      <c r="AD272" s="35">
        <f>IF(AQ272="7",BH272,0)</f>
        <v>0</v>
      </c>
      <c r="AE272" s="35">
        <f>IF(AQ272="7",BI272,0)</f>
        <v>0</v>
      </c>
      <c r="AF272" s="35">
        <f>IF(AQ272="2",BH272,0)</f>
        <v>0</v>
      </c>
      <c r="AG272" s="35">
        <f>IF(AQ272="2",BI272,0)</f>
        <v>0</v>
      </c>
      <c r="AH272" s="35">
        <f>IF(AQ272="0",BJ272,0)</f>
        <v>0</v>
      </c>
      <c r="AI272" s="12" t="s">
        <v>530</v>
      </c>
      <c r="AJ272" s="35">
        <f>IF(AN272=0,L272,0)</f>
        <v>0</v>
      </c>
      <c r="AK272" s="35">
        <f>IF(AN272=12,L272,0)</f>
        <v>0</v>
      </c>
      <c r="AL272" s="35">
        <f>IF(AN272=21,L272,0)</f>
        <v>0</v>
      </c>
      <c r="AN272" s="35">
        <v>21</v>
      </c>
      <c r="AO272" s="35">
        <f>H272*0</f>
        <v>0</v>
      </c>
      <c r="AP272" s="35">
        <f>H272*(1-0)</f>
        <v>0</v>
      </c>
      <c r="AQ272" s="36" t="s">
        <v>61</v>
      </c>
      <c r="AV272" s="35">
        <f>AW272+AX272</f>
        <v>0</v>
      </c>
      <c r="AW272" s="35">
        <f>G272*AO272</f>
        <v>0</v>
      </c>
      <c r="AX272" s="35">
        <f>G272*AP272</f>
        <v>0</v>
      </c>
      <c r="AY272" s="36" t="s">
        <v>538</v>
      </c>
      <c r="AZ272" s="36" t="s">
        <v>539</v>
      </c>
      <c r="BA272" s="12" t="s">
        <v>540</v>
      </c>
      <c r="BC272" s="35">
        <f>AW272+AX272</f>
        <v>0</v>
      </c>
      <c r="BD272" s="35">
        <f>H272/(100-BE272)*100</f>
        <v>0</v>
      </c>
      <c r="BE272" s="35">
        <v>0</v>
      </c>
      <c r="BF272" s="35">
        <f>O272</f>
        <v>0</v>
      </c>
      <c r="BH272" s="35">
        <f>G272*AO272</f>
        <v>0</v>
      </c>
      <c r="BI272" s="35">
        <f>G272*AP272</f>
        <v>0</v>
      </c>
      <c r="BJ272" s="35">
        <f>G272*H272</f>
        <v>0</v>
      </c>
      <c r="BK272" s="35"/>
      <c r="BL272" s="35"/>
      <c r="BW272" s="35" t="str">
        <f>I272</f>
        <v>21</v>
      </c>
      <c r="BX272" s="4" t="s">
        <v>571</v>
      </c>
    </row>
    <row r="273" spans="1:76" ht="13.5" customHeight="1" x14ac:dyDescent="0.4">
      <c r="A273" s="38"/>
      <c r="C273" s="44" t="s">
        <v>165</v>
      </c>
      <c r="D273" s="89" t="s">
        <v>572</v>
      </c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1"/>
    </row>
    <row r="274" spans="1:76" ht="14.6" x14ac:dyDescent="0.4">
      <c r="A274" s="2" t="s">
        <v>573</v>
      </c>
      <c r="B274" s="3" t="s">
        <v>530</v>
      </c>
      <c r="C274" s="3" t="s">
        <v>567</v>
      </c>
      <c r="D274" s="83" t="s">
        <v>574</v>
      </c>
      <c r="E274" s="84"/>
      <c r="F274" s="3" t="s">
        <v>537</v>
      </c>
      <c r="G274" s="35">
        <v>1</v>
      </c>
      <c r="H274" s="82"/>
      <c r="I274" s="36" t="s">
        <v>65</v>
      </c>
      <c r="J274" s="35">
        <f>G274*AO274</f>
        <v>0</v>
      </c>
      <c r="K274" s="35">
        <f>G274*AP274</f>
        <v>0</v>
      </c>
      <c r="L274" s="35">
        <f>G274*H274</f>
        <v>0</v>
      </c>
      <c r="M274" s="35">
        <f>L274*(1+BW274/100)</f>
        <v>0</v>
      </c>
      <c r="N274" s="35">
        <v>0</v>
      </c>
      <c r="O274" s="35">
        <f>G274*N274</f>
        <v>0</v>
      </c>
      <c r="P274" s="37" t="s">
        <v>66</v>
      </c>
      <c r="Z274" s="35">
        <f>IF(AQ274="5",BJ274,0)</f>
        <v>0</v>
      </c>
      <c r="AB274" s="35">
        <f>IF(AQ274="1",BH274,0)</f>
        <v>0</v>
      </c>
      <c r="AC274" s="35">
        <f>IF(AQ274="1",BI274,0)</f>
        <v>0</v>
      </c>
      <c r="AD274" s="35">
        <f>IF(AQ274="7",BH274,0)</f>
        <v>0</v>
      </c>
      <c r="AE274" s="35">
        <f>IF(AQ274="7",BI274,0)</f>
        <v>0</v>
      </c>
      <c r="AF274" s="35">
        <f>IF(AQ274="2",BH274,0)</f>
        <v>0</v>
      </c>
      <c r="AG274" s="35">
        <f>IF(AQ274="2",BI274,0)</f>
        <v>0</v>
      </c>
      <c r="AH274" s="35">
        <f>IF(AQ274="0",BJ274,0)</f>
        <v>0</v>
      </c>
      <c r="AI274" s="12" t="s">
        <v>530</v>
      </c>
      <c r="AJ274" s="35">
        <f>IF(AN274=0,L274,0)</f>
        <v>0</v>
      </c>
      <c r="AK274" s="35">
        <f>IF(AN274=12,L274,0)</f>
        <v>0</v>
      </c>
      <c r="AL274" s="35">
        <f>IF(AN274=21,L274,0)</f>
        <v>0</v>
      </c>
      <c r="AN274" s="35">
        <v>21</v>
      </c>
      <c r="AO274" s="35">
        <f>H274*0</f>
        <v>0</v>
      </c>
      <c r="AP274" s="35">
        <f>H274*(1-0)</f>
        <v>0</v>
      </c>
      <c r="AQ274" s="36" t="s">
        <v>61</v>
      </c>
      <c r="AV274" s="35">
        <f>AW274+AX274</f>
        <v>0</v>
      </c>
      <c r="AW274" s="35">
        <f>G274*AO274</f>
        <v>0</v>
      </c>
      <c r="AX274" s="35">
        <f>G274*AP274</f>
        <v>0</v>
      </c>
      <c r="AY274" s="36" t="s">
        <v>538</v>
      </c>
      <c r="AZ274" s="36" t="s">
        <v>539</v>
      </c>
      <c r="BA274" s="12" t="s">
        <v>540</v>
      </c>
      <c r="BC274" s="35">
        <f>AW274+AX274</f>
        <v>0</v>
      </c>
      <c r="BD274" s="35">
        <f>H274/(100-BE274)*100</f>
        <v>0</v>
      </c>
      <c r="BE274" s="35">
        <v>0</v>
      </c>
      <c r="BF274" s="35">
        <f>O274</f>
        <v>0</v>
      </c>
      <c r="BH274" s="35">
        <f>G274*AO274</f>
        <v>0</v>
      </c>
      <c r="BI274" s="35">
        <f>G274*AP274</f>
        <v>0</v>
      </c>
      <c r="BJ274" s="35">
        <f>G274*H274</f>
        <v>0</v>
      </c>
      <c r="BK274" s="35"/>
      <c r="BL274" s="35"/>
      <c r="BW274" s="35" t="str">
        <f>I274</f>
        <v>21</v>
      </c>
      <c r="BX274" s="4" t="s">
        <v>574</v>
      </c>
    </row>
    <row r="275" spans="1:76" ht="13.5" customHeight="1" x14ac:dyDescent="0.4">
      <c r="A275" s="38"/>
      <c r="C275" s="44" t="s">
        <v>165</v>
      </c>
      <c r="D275" s="89" t="s">
        <v>575</v>
      </c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1"/>
    </row>
    <row r="276" spans="1:76" ht="14.6" x14ac:dyDescent="0.4">
      <c r="A276" s="31" t="s">
        <v>56</v>
      </c>
      <c r="B276" s="32" t="s">
        <v>576</v>
      </c>
      <c r="C276" s="32" t="s">
        <v>56</v>
      </c>
      <c r="D276" s="92" t="s">
        <v>577</v>
      </c>
      <c r="E276" s="93"/>
      <c r="F276" s="33" t="s">
        <v>4</v>
      </c>
      <c r="G276" s="33" t="s">
        <v>4</v>
      </c>
      <c r="H276" s="33" t="s">
        <v>4</v>
      </c>
      <c r="I276" s="33" t="s">
        <v>4</v>
      </c>
      <c r="J276" s="1">
        <f>J277</f>
        <v>0</v>
      </c>
      <c r="K276" s="1">
        <f>K277</f>
        <v>0</v>
      </c>
      <c r="L276" s="1">
        <f>L277</f>
        <v>0</v>
      </c>
      <c r="M276" s="1">
        <f>M277</f>
        <v>0</v>
      </c>
      <c r="N276" s="12" t="s">
        <v>56</v>
      </c>
      <c r="O276" s="1">
        <f>O277</f>
        <v>0</v>
      </c>
      <c r="P276" s="34" t="s">
        <v>56</v>
      </c>
    </row>
    <row r="277" spans="1:76" ht="14.6" x14ac:dyDescent="0.4">
      <c r="A277" s="31" t="s">
        <v>56</v>
      </c>
      <c r="B277" s="32" t="s">
        <v>576</v>
      </c>
      <c r="C277" s="32" t="s">
        <v>532</v>
      </c>
      <c r="D277" s="92" t="s">
        <v>533</v>
      </c>
      <c r="E277" s="93"/>
      <c r="F277" s="33" t="s">
        <v>4</v>
      </c>
      <c r="G277" s="33" t="s">
        <v>4</v>
      </c>
      <c r="H277" s="33" t="s">
        <v>4</v>
      </c>
      <c r="I277" s="33" t="s">
        <v>4</v>
      </c>
      <c r="J277" s="1">
        <f>SUM(J278:J278)</f>
        <v>0</v>
      </c>
      <c r="K277" s="1">
        <f>SUM(K278:K278)</f>
        <v>0</v>
      </c>
      <c r="L277" s="1">
        <f>SUM(L278:L278)</f>
        <v>0</v>
      </c>
      <c r="M277" s="1">
        <f>SUM(M278:M278)</f>
        <v>0</v>
      </c>
      <c r="N277" s="12" t="s">
        <v>56</v>
      </c>
      <c r="O277" s="1">
        <f>SUM(O278:O278)</f>
        <v>0</v>
      </c>
      <c r="P277" s="34" t="s">
        <v>56</v>
      </c>
      <c r="AI277" s="12" t="s">
        <v>576</v>
      </c>
      <c r="AS277" s="1">
        <f>SUM(AJ278:AJ278)</f>
        <v>0</v>
      </c>
      <c r="AT277" s="1">
        <f>SUM(AK278:AK278)</f>
        <v>0</v>
      </c>
      <c r="AU277" s="1">
        <f>SUM(AL278:AL278)</f>
        <v>0</v>
      </c>
    </row>
    <row r="278" spans="1:76" ht="14.6" x14ac:dyDescent="0.4">
      <c r="A278" s="2" t="s">
        <v>578</v>
      </c>
      <c r="B278" s="3" t="s">
        <v>576</v>
      </c>
      <c r="C278" s="3" t="s">
        <v>535</v>
      </c>
      <c r="D278" s="83" t="s">
        <v>579</v>
      </c>
      <c r="E278" s="84"/>
      <c r="F278" s="3" t="s">
        <v>537</v>
      </c>
      <c r="G278" s="35">
        <v>1</v>
      </c>
      <c r="H278" s="82"/>
      <c r="I278" s="36" t="s">
        <v>65</v>
      </c>
      <c r="J278" s="35">
        <f>G278*AO278</f>
        <v>0</v>
      </c>
      <c r="K278" s="35">
        <f>G278*AP278</f>
        <v>0</v>
      </c>
      <c r="L278" s="35">
        <f>G278*H278</f>
        <v>0</v>
      </c>
      <c r="M278" s="35">
        <f>L278*(1+BW278/100)</f>
        <v>0</v>
      </c>
      <c r="N278" s="35">
        <v>0</v>
      </c>
      <c r="O278" s="35">
        <f>G278*N278</f>
        <v>0</v>
      </c>
      <c r="P278" s="37" t="s">
        <v>66</v>
      </c>
      <c r="Z278" s="35">
        <f>IF(AQ278="5",BJ278,0)</f>
        <v>0</v>
      </c>
      <c r="AB278" s="35">
        <f>IF(AQ278="1",BH278,0)</f>
        <v>0</v>
      </c>
      <c r="AC278" s="35">
        <f>IF(AQ278="1",BI278,0)</f>
        <v>0</v>
      </c>
      <c r="AD278" s="35">
        <f>IF(AQ278="7",BH278,0)</f>
        <v>0</v>
      </c>
      <c r="AE278" s="35">
        <f>IF(AQ278="7",BI278,0)</f>
        <v>0</v>
      </c>
      <c r="AF278" s="35">
        <f>IF(AQ278="2",BH278,0)</f>
        <v>0</v>
      </c>
      <c r="AG278" s="35">
        <f>IF(AQ278="2",BI278,0)</f>
        <v>0</v>
      </c>
      <c r="AH278" s="35">
        <f>IF(AQ278="0",BJ278,0)</f>
        <v>0</v>
      </c>
      <c r="AI278" s="12" t="s">
        <v>576</v>
      </c>
      <c r="AJ278" s="35">
        <f>IF(AN278=0,L278,0)</f>
        <v>0</v>
      </c>
      <c r="AK278" s="35">
        <f>IF(AN278=12,L278,0)</f>
        <v>0</v>
      </c>
      <c r="AL278" s="35">
        <f>IF(AN278=21,L278,0)</f>
        <v>0</v>
      </c>
      <c r="AN278" s="35">
        <v>21</v>
      </c>
      <c r="AO278" s="35">
        <f>H278*0</f>
        <v>0</v>
      </c>
      <c r="AP278" s="35">
        <f>H278*(1-0)</f>
        <v>0</v>
      </c>
      <c r="AQ278" s="36" t="s">
        <v>61</v>
      </c>
      <c r="AV278" s="35">
        <f>AW278+AX278</f>
        <v>0</v>
      </c>
      <c r="AW278" s="35">
        <f>G278*AO278</f>
        <v>0</v>
      </c>
      <c r="AX278" s="35">
        <f>G278*AP278</f>
        <v>0</v>
      </c>
      <c r="AY278" s="36" t="s">
        <v>538</v>
      </c>
      <c r="AZ278" s="36" t="s">
        <v>580</v>
      </c>
      <c r="BA278" s="12" t="s">
        <v>581</v>
      </c>
      <c r="BC278" s="35">
        <f>AW278+AX278</f>
        <v>0</v>
      </c>
      <c r="BD278" s="35">
        <f>H278/(100-BE278)*100</f>
        <v>0</v>
      </c>
      <c r="BE278" s="35">
        <v>0</v>
      </c>
      <c r="BF278" s="35">
        <f>O278</f>
        <v>0</v>
      </c>
      <c r="BH278" s="35">
        <f>G278*AO278</f>
        <v>0</v>
      </c>
      <c r="BI278" s="35">
        <f>G278*AP278</f>
        <v>0</v>
      </c>
      <c r="BJ278" s="35">
        <f>G278*H278</f>
        <v>0</v>
      </c>
      <c r="BK278" s="35"/>
      <c r="BL278" s="35"/>
      <c r="BW278" s="35" t="str">
        <f>I278</f>
        <v>21</v>
      </c>
      <c r="BX278" s="4" t="s">
        <v>579</v>
      </c>
    </row>
    <row r="279" spans="1:76" ht="27" customHeight="1" x14ac:dyDescent="0.4">
      <c r="A279" s="45"/>
      <c r="B279" s="46"/>
      <c r="C279" s="47" t="s">
        <v>165</v>
      </c>
      <c r="D279" s="85" t="s">
        <v>582</v>
      </c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7"/>
    </row>
    <row r="280" spans="1:76" ht="14.6" x14ac:dyDescent="0.4">
      <c r="J280" s="88" t="s">
        <v>583</v>
      </c>
      <c r="K280" s="88"/>
      <c r="L280" s="48">
        <f>L13+L33+L41+L47+L56+L59+L75+L79+L92+L95+L107+L110+L123+L157+L163+L183+L186+L221+L237+L246+L251+L277</f>
        <v>0</v>
      </c>
      <c r="M280" s="48">
        <f>M13+M33+M41+M47+M56+M59+M75+M79+M92+M95+M107+M110+M123+M157+M163+M183+M186+M221+M237+M246+M251+M277</f>
        <v>0</v>
      </c>
    </row>
    <row r="281" spans="1:76" ht="14.6" x14ac:dyDescent="0.4">
      <c r="A281" s="49" t="s">
        <v>165</v>
      </c>
    </row>
    <row r="282" spans="1:76" ht="13.5" customHeight="1" x14ac:dyDescent="0.4">
      <c r="A282" s="83" t="s">
        <v>584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</row>
  </sheetData>
  <sheetProtection algorithmName="SHA-512" hashValue="qr8mKYxVAZptMmDOPhecKH/K40MDMG4G1N605b/4vsMkQINFkCJi9Af3tIuBjGXtMZ9Qxou2HfkJv0M/6Sd/yw==" saltValue="qm2Bn5ptyz8GnsEv9hsKSQ==" spinCount="100000" sheet="1" objects="1" scenarios="1"/>
  <mergeCells count="235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4:E14"/>
    <mergeCell ref="D15:E15"/>
    <mergeCell ref="D16:P16"/>
    <mergeCell ref="D18:E18"/>
    <mergeCell ref="D19:P19"/>
    <mergeCell ref="D11:E11"/>
    <mergeCell ref="J10:L10"/>
    <mergeCell ref="N10:O10"/>
    <mergeCell ref="D12:E12"/>
    <mergeCell ref="D13:E13"/>
    <mergeCell ref="D27:P27"/>
    <mergeCell ref="D28:E28"/>
    <mergeCell ref="D30:E30"/>
    <mergeCell ref="D31:P31"/>
    <mergeCell ref="D33:E33"/>
    <mergeCell ref="D21:E21"/>
    <mergeCell ref="D22:P22"/>
    <mergeCell ref="D23:E23"/>
    <mergeCell ref="D24:P24"/>
    <mergeCell ref="D26:E26"/>
    <mergeCell ref="D44:E44"/>
    <mergeCell ref="D45:P45"/>
    <mergeCell ref="D47:E47"/>
    <mergeCell ref="D48:E48"/>
    <mergeCell ref="D49:E49"/>
    <mergeCell ref="D34:E34"/>
    <mergeCell ref="D36:E36"/>
    <mergeCell ref="D40:E40"/>
    <mergeCell ref="D41:E41"/>
    <mergeCell ref="D42:E42"/>
    <mergeCell ref="D57:E57"/>
    <mergeCell ref="D58:P58"/>
    <mergeCell ref="D59:E59"/>
    <mergeCell ref="D60:E60"/>
    <mergeCell ref="D61:P61"/>
    <mergeCell ref="D50:E50"/>
    <mergeCell ref="D52:E52"/>
    <mergeCell ref="D53:E53"/>
    <mergeCell ref="D55:E55"/>
    <mergeCell ref="D56:E56"/>
    <mergeCell ref="D70:E70"/>
    <mergeCell ref="D71:P71"/>
    <mergeCell ref="D73:E73"/>
    <mergeCell ref="D75:E75"/>
    <mergeCell ref="D76:E76"/>
    <mergeCell ref="D63:P63"/>
    <mergeCell ref="D64:E64"/>
    <mergeCell ref="D65:P65"/>
    <mergeCell ref="D67:E67"/>
    <mergeCell ref="D68:P68"/>
    <mergeCell ref="D83:E83"/>
    <mergeCell ref="D85:E85"/>
    <mergeCell ref="D86:E86"/>
    <mergeCell ref="D87:E87"/>
    <mergeCell ref="D89:E89"/>
    <mergeCell ref="D77:E77"/>
    <mergeCell ref="D78:P78"/>
    <mergeCell ref="D79:E79"/>
    <mergeCell ref="D80:E80"/>
    <mergeCell ref="D81:P81"/>
    <mergeCell ref="D96:E96"/>
    <mergeCell ref="D98:E98"/>
    <mergeCell ref="D101:P101"/>
    <mergeCell ref="D102:E102"/>
    <mergeCell ref="D103:E103"/>
    <mergeCell ref="D90:E90"/>
    <mergeCell ref="D92:E92"/>
    <mergeCell ref="D93:E93"/>
    <mergeCell ref="D94:E94"/>
    <mergeCell ref="D95:E95"/>
    <mergeCell ref="D113:E113"/>
    <mergeCell ref="D115:P115"/>
    <mergeCell ref="D116:E116"/>
    <mergeCell ref="D118:P118"/>
    <mergeCell ref="D119:E119"/>
    <mergeCell ref="D105:E105"/>
    <mergeCell ref="D107:E107"/>
    <mergeCell ref="D108:E108"/>
    <mergeCell ref="D110:E110"/>
    <mergeCell ref="D111:E111"/>
    <mergeCell ref="D126:E126"/>
    <mergeCell ref="D128:E128"/>
    <mergeCell ref="D131:P131"/>
    <mergeCell ref="D132:E132"/>
    <mergeCell ref="D135:P135"/>
    <mergeCell ref="D120:E120"/>
    <mergeCell ref="D121:P121"/>
    <mergeCell ref="D122:E122"/>
    <mergeCell ref="D123:E123"/>
    <mergeCell ref="D124:E124"/>
    <mergeCell ref="D149:P149"/>
    <mergeCell ref="D150:E150"/>
    <mergeCell ref="D153:E153"/>
    <mergeCell ref="D156:E156"/>
    <mergeCell ref="D157:E157"/>
    <mergeCell ref="D136:E136"/>
    <mergeCell ref="D139:E139"/>
    <mergeCell ref="D142:E142"/>
    <mergeCell ref="D145:P145"/>
    <mergeCell ref="D146:E146"/>
    <mergeCell ref="D163:E163"/>
    <mergeCell ref="D164:E164"/>
    <mergeCell ref="D165:E165"/>
    <mergeCell ref="D166:E166"/>
    <mergeCell ref="D167:P167"/>
    <mergeCell ref="D158:E158"/>
    <mergeCell ref="D159:P159"/>
    <mergeCell ref="D160:P160"/>
    <mergeCell ref="D161:E161"/>
    <mergeCell ref="D162:P162"/>
    <mergeCell ref="D174:E174"/>
    <mergeCell ref="D175:E175"/>
    <mergeCell ref="D176:P176"/>
    <mergeCell ref="D177:E177"/>
    <mergeCell ref="D178:P178"/>
    <mergeCell ref="D168:E168"/>
    <mergeCell ref="D170:P170"/>
    <mergeCell ref="D171:E171"/>
    <mergeCell ref="D172:P172"/>
    <mergeCell ref="D173:P173"/>
    <mergeCell ref="D187:E187"/>
    <mergeCell ref="D188:E188"/>
    <mergeCell ref="D189:P189"/>
    <mergeCell ref="D190:E190"/>
    <mergeCell ref="D191:P191"/>
    <mergeCell ref="D180:E180"/>
    <mergeCell ref="D181:P181"/>
    <mergeCell ref="D183:E183"/>
    <mergeCell ref="D184:E184"/>
    <mergeCell ref="D186:E186"/>
    <mergeCell ref="D199:E199"/>
    <mergeCell ref="D201:E201"/>
    <mergeCell ref="D202:P202"/>
    <mergeCell ref="D204:E204"/>
    <mergeCell ref="D206:E206"/>
    <mergeCell ref="D193:E193"/>
    <mergeCell ref="D194:P194"/>
    <mergeCell ref="D195:E195"/>
    <mergeCell ref="D197:E197"/>
    <mergeCell ref="D198:P198"/>
    <mergeCell ref="D214:E214"/>
    <mergeCell ref="D215:P215"/>
    <mergeCell ref="D216:E216"/>
    <mergeCell ref="D217:P217"/>
    <mergeCell ref="D219:E219"/>
    <mergeCell ref="D207:P207"/>
    <mergeCell ref="D209:E209"/>
    <mergeCell ref="D210:P210"/>
    <mergeCell ref="D211:E211"/>
    <mergeCell ref="D212:P212"/>
    <mergeCell ref="D225:P225"/>
    <mergeCell ref="D226:E226"/>
    <mergeCell ref="D227:P227"/>
    <mergeCell ref="D229:E229"/>
    <mergeCell ref="D230:P230"/>
    <mergeCell ref="D220:P220"/>
    <mergeCell ref="D221:E221"/>
    <mergeCell ref="D222:E222"/>
    <mergeCell ref="D223:P223"/>
    <mergeCell ref="D224:E224"/>
    <mergeCell ref="D236:P236"/>
    <mergeCell ref="D237:E237"/>
    <mergeCell ref="D238:E238"/>
    <mergeCell ref="D239:P239"/>
    <mergeCell ref="D240:E240"/>
    <mergeCell ref="D231:E231"/>
    <mergeCell ref="D232:P232"/>
    <mergeCell ref="D233:E233"/>
    <mergeCell ref="D234:P234"/>
    <mergeCell ref="D235:E235"/>
    <mergeCell ref="D246:E246"/>
    <mergeCell ref="D247:E247"/>
    <mergeCell ref="D250:E250"/>
    <mergeCell ref="D251:E251"/>
    <mergeCell ref="D252:E252"/>
    <mergeCell ref="D241:E241"/>
    <mergeCell ref="D242:P242"/>
    <mergeCell ref="D243:E243"/>
    <mergeCell ref="D244:E244"/>
    <mergeCell ref="D245:P245"/>
    <mergeCell ref="D258:E258"/>
    <mergeCell ref="D259:P259"/>
    <mergeCell ref="D260:E260"/>
    <mergeCell ref="D261:P261"/>
    <mergeCell ref="D262:E262"/>
    <mergeCell ref="D253:P253"/>
    <mergeCell ref="D254:E254"/>
    <mergeCell ref="D255:P255"/>
    <mergeCell ref="D256:E256"/>
    <mergeCell ref="D257:P257"/>
    <mergeCell ref="D268:E268"/>
    <mergeCell ref="D269:P269"/>
    <mergeCell ref="D270:E270"/>
    <mergeCell ref="D271:P271"/>
    <mergeCell ref="D272:E272"/>
    <mergeCell ref="D263:P263"/>
    <mergeCell ref="D264:E264"/>
    <mergeCell ref="D265:P265"/>
    <mergeCell ref="D266:E266"/>
    <mergeCell ref="D267:P267"/>
    <mergeCell ref="D278:E278"/>
    <mergeCell ref="D279:P279"/>
    <mergeCell ref="J280:K280"/>
    <mergeCell ref="A282:P282"/>
    <mergeCell ref="D273:P273"/>
    <mergeCell ref="D274:E274"/>
    <mergeCell ref="D275:P275"/>
    <mergeCell ref="D276:E276"/>
    <mergeCell ref="D277:E27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workbookViewId="0">
      <pane ySplit="11" topLeftCell="A12" activePane="bottomLeft" state="frozen"/>
      <selection pane="bottomLeft" activeCell="D4" sqref="D4:F5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114" t="s">
        <v>585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6" ht="14.6" x14ac:dyDescent="0.4">
      <c r="A2" s="115" t="s">
        <v>1</v>
      </c>
      <c r="B2" s="107"/>
      <c r="C2" s="107"/>
      <c r="D2" s="119" t="str">
        <f>'Stavební rozpočet'!D2</f>
        <v>Rekonstrukce, úpravy a rozš. stáv. zpev. i nezpev. ploch k parkování - část sídliště U Hřbitova</v>
      </c>
      <c r="E2" s="120"/>
      <c r="F2" s="120"/>
      <c r="G2" s="106" t="s">
        <v>3</v>
      </c>
      <c r="H2" s="106" t="str">
        <f>'Stavební rozpočet'!H2</f>
        <v xml:space="preserve"> </v>
      </c>
      <c r="I2" s="106" t="s">
        <v>5</v>
      </c>
      <c r="J2" s="106" t="str">
        <f>'Stavební rozpočet'!J2</f>
        <v>Statutární město Jihlava</v>
      </c>
      <c r="K2" s="107"/>
      <c r="L2" s="108"/>
    </row>
    <row r="3" spans="1:16" ht="15" customHeight="1" x14ac:dyDescent="0.4">
      <c r="A3" s="116"/>
      <c r="B3" s="84"/>
      <c r="C3" s="84"/>
      <c r="D3" s="121"/>
      <c r="E3" s="121"/>
      <c r="F3" s="121"/>
      <c r="G3" s="84"/>
      <c r="H3" s="84"/>
      <c r="I3" s="84"/>
      <c r="J3" s="84"/>
      <c r="K3" s="84"/>
      <c r="L3" s="109"/>
    </row>
    <row r="4" spans="1:16" ht="14.6" x14ac:dyDescent="0.4">
      <c r="A4" s="117" t="s">
        <v>7</v>
      </c>
      <c r="B4" s="84"/>
      <c r="C4" s="84"/>
      <c r="D4" s="83" t="str">
        <f>'Stavební rozpočet'!D4</f>
        <v>SO 113.1 - Rekonstr. parkoviště před byt. domy U Hřbitova 30-34 + SO 402_VO</v>
      </c>
      <c r="E4" s="84"/>
      <c r="F4" s="84"/>
      <c r="G4" s="83" t="s">
        <v>9</v>
      </c>
      <c r="H4" s="83" t="str">
        <f>'Stavební rozpočet'!H4</f>
        <v xml:space="preserve"> </v>
      </c>
      <c r="I4" s="83" t="s">
        <v>10</v>
      </c>
      <c r="J4" s="83" t="str">
        <f>'Stavební rozpočet'!J4</f>
        <v> </v>
      </c>
      <c r="K4" s="84"/>
      <c r="L4" s="109"/>
    </row>
    <row r="5" spans="1:16" ht="15" customHeight="1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109"/>
    </row>
    <row r="6" spans="1:16" ht="14.6" x14ac:dyDescent="0.4">
      <c r="A6" s="117" t="s">
        <v>12</v>
      </c>
      <c r="B6" s="84"/>
      <c r="C6" s="84"/>
      <c r="D6" s="83" t="str">
        <f>'Stavební rozpočet'!D6</f>
        <v>Jihlava</v>
      </c>
      <c r="E6" s="84"/>
      <c r="F6" s="84"/>
      <c r="G6" s="83" t="s">
        <v>14</v>
      </c>
      <c r="H6" s="83" t="str">
        <f>'Stavební rozpočet'!H6</f>
        <v xml:space="preserve"> </v>
      </c>
      <c r="I6" s="83" t="s">
        <v>15</v>
      </c>
      <c r="J6" s="83" t="str">
        <f>'Stavební rozpočet'!J6</f>
        <v>dle výběrového řízení</v>
      </c>
      <c r="K6" s="84"/>
      <c r="L6" s="109"/>
    </row>
    <row r="7" spans="1:16" ht="15" customHeight="1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109"/>
    </row>
    <row r="8" spans="1:16" ht="14.6" x14ac:dyDescent="0.4">
      <c r="A8" s="117" t="s">
        <v>17</v>
      </c>
      <c r="B8" s="84"/>
      <c r="C8" s="84"/>
      <c r="D8" s="83" t="str">
        <f>'Stavební rozpočet'!D8</f>
        <v xml:space="preserve"> </v>
      </c>
      <c r="E8" s="84"/>
      <c r="F8" s="84"/>
      <c r="G8" s="83" t="s">
        <v>18</v>
      </c>
      <c r="H8" s="83" t="str">
        <f>'Stavební rozpočet'!H8</f>
        <v>29.08.2024</v>
      </c>
      <c r="I8" s="83" t="s">
        <v>20</v>
      </c>
      <c r="J8" s="83" t="str">
        <f>'Stavební rozpočet'!J8</f>
        <v>Ing. Petr Kristýnek</v>
      </c>
      <c r="K8" s="84"/>
      <c r="L8" s="109"/>
    </row>
    <row r="9" spans="1:1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6" ht="14.6" x14ac:dyDescent="0.4">
      <c r="A10" s="50" t="s">
        <v>4</v>
      </c>
      <c r="B10" s="126" t="s">
        <v>4</v>
      </c>
      <c r="C10" s="127"/>
      <c r="D10" s="127"/>
      <c r="E10" s="127"/>
      <c r="F10" s="127"/>
      <c r="G10" s="127"/>
      <c r="H10" s="128"/>
      <c r="I10" s="99" t="s">
        <v>30</v>
      </c>
      <c r="J10" s="100"/>
      <c r="K10" s="101"/>
      <c r="L10" s="10" t="s">
        <v>31</v>
      </c>
    </row>
    <row r="11" spans="1:16" ht="14.6" x14ac:dyDescent="0.4">
      <c r="A11" s="51" t="s">
        <v>23</v>
      </c>
      <c r="B11" s="97" t="s">
        <v>586</v>
      </c>
      <c r="C11" s="123"/>
      <c r="D11" s="123"/>
      <c r="E11" s="123"/>
      <c r="F11" s="123"/>
      <c r="G11" s="123"/>
      <c r="H11" s="124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5" t="s">
        <v>58</v>
      </c>
      <c r="C12" s="125"/>
      <c r="D12" s="125"/>
      <c r="E12" s="125"/>
      <c r="F12" s="125"/>
      <c r="G12" s="125"/>
      <c r="H12" s="125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514.80496799999992</v>
      </c>
      <c r="M12" s="55" t="s">
        <v>587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350</v>
      </c>
      <c r="B13" s="84" t="s">
        <v>351</v>
      </c>
      <c r="C13" s="84"/>
      <c r="D13" s="84"/>
      <c r="E13" s="84"/>
      <c r="F13" s="84"/>
      <c r="G13" s="84"/>
      <c r="H13" s="84"/>
      <c r="I13" s="35">
        <f>'Stavební rozpočet'!J156</f>
        <v>0</v>
      </c>
      <c r="J13" s="35">
        <f>'Stavební rozpočet'!K156</f>
        <v>0</v>
      </c>
      <c r="K13" s="35">
        <f>'Stavební rozpočet'!L156</f>
        <v>0</v>
      </c>
      <c r="L13" s="56">
        <f>'Stavební rozpočet'!O156</f>
        <v>37.7973675</v>
      </c>
      <c r="M13" s="55" t="s">
        <v>587</v>
      </c>
      <c r="N13" s="35">
        <f>IF(M13="F",0,K13)</f>
        <v>0</v>
      </c>
      <c r="O13" s="3" t="s">
        <v>350</v>
      </c>
      <c r="P13" s="35">
        <f>IF(M13="T",0,K13)</f>
        <v>0</v>
      </c>
    </row>
    <row r="14" spans="1:16" ht="14.6" x14ac:dyDescent="0.4">
      <c r="A14" s="2" t="s">
        <v>530</v>
      </c>
      <c r="B14" s="84" t="s">
        <v>531</v>
      </c>
      <c r="C14" s="84"/>
      <c r="D14" s="84"/>
      <c r="E14" s="84"/>
      <c r="F14" s="84"/>
      <c r="G14" s="84"/>
      <c r="H14" s="84"/>
      <c r="I14" s="35">
        <f>'Stavební rozpočet'!J250</f>
        <v>0</v>
      </c>
      <c r="J14" s="35">
        <f>'Stavební rozpočet'!K250</f>
        <v>0</v>
      </c>
      <c r="K14" s="35">
        <f>'Stavební rozpočet'!L250</f>
        <v>0</v>
      </c>
      <c r="L14" s="56">
        <f>'Stavební rozpočet'!O250</f>
        <v>0</v>
      </c>
      <c r="M14" s="55" t="s">
        <v>587</v>
      </c>
      <c r="N14" s="35">
        <f>IF(M14="F",0,K14)</f>
        <v>0</v>
      </c>
      <c r="O14" s="3" t="s">
        <v>530</v>
      </c>
      <c r="P14" s="35">
        <f>IF(M14="T",0,K14)</f>
        <v>0</v>
      </c>
    </row>
    <row r="15" spans="1:16" ht="14.6" x14ac:dyDescent="0.4">
      <c r="A15" s="57" t="s">
        <v>576</v>
      </c>
      <c r="B15" s="122" t="s">
        <v>577</v>
      </c>
      <c r="C15" s="122"/>
      <c r="D15" s="122"/>
      <c r="E15" s="122"/>
      <c r="F15" s="122"/>
      <c r="G15" s="122"/>
      <c r="H15" s="122"/>
      <c r="I15" s="58">
        <f>'Stavební rozpočet'!J276</f>
        <v>0</v>
      </c>
      <c r="J15" s="58">
        <f>'Stavební rozpočet'!K276</f>
        <v>0</v>
      </c>
      <c r="K15" s="58">
        <f>'Stavební rozpočet'!L276</f>
        <v>0</v>
      </c>
      <c r="L15" s="59">
        <f>'Stavební rozpočet'!O276</f>
        <v>0</v>
      </c>
      <c r="M15" s="55" t="s">
        <v>587</v>
      </c>
      <c r="N15" s="35">
        <f>IF(M15="F",0,K15)</f>
        <v>0</v>
      </c>
      <c r="O15" s="3" t="s">
        <v>576</v>
      </c>
      <c r="P15" s="35">
        <f>IF(M15="T",0,K15)</f>
        <v>0</v>
      </c>
    </row>
    <row r="16" spans="1:16" ht="14.6" x14ac:dyDescent="0.4">
      <c r="I16" s="88" t="s">
        <v>583</v>
      </c>
      <c r="J16" s="88"/>
      <c r="K16" s="48">
        <f>SUM(P12:P15)</f>
        <v>0</v>
      </c>
    </row>
    <row r="17" spans="1:12" ht="14.6" x14ac:dyDescent="0.4">
      <c r="A17" s="49" t="s">
        <v>165</v>
      </c>
    </row>
    <row r="18" spans="1:12" ht="13.5" customHeight="1" x14ac:dyDescent="0.4">
      <c r="A18" s="83" t="s">
        <v>584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</row>
  </sheetData>
  <sheetProtection algorithmName="SHA-512" hashValue="1sLebu2o+F5BeUBHz3TVuz6nX6X835pGe49v5ipcr/3/adYy+NPgfsA/0i8tzGf1+IVN0aPPlp/5ZTRlMvvmTg==" saltValue="efkF0armfQ+PmssukiVxjA==" spinCount="100000" sheet="1" objects="1" scenarios="1"/>
  <mergeCells count="34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B15:H15"/>
    <mergeCell ref="I16:J16"/>
    <mergeCell ref="A18:L18"/>
    <mergeCell ref="B11:H11"/>
    <mergeCell ref="I10:K10"/>
    <mergeCell ref="B12:H12"/>
    <mergeCell ref="B13:H13"/>
    <mergeCell ref="B14:H1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65" t="s">
        <v>588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589</v>
      </c>
      <c r="I2" s="108" t="s">
        <v>590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113.1 - Rekonstr. parkoviště před byt. domy U Hřbitova 30-34 + SO 402_VO</v>
      </c>
      <c r="D4" s="84"/>
      <c r="E4" s="83" t="s">
        <v>10</v>
      </c>
      <c r="F4" s="83" t="str">
        <f>'Stavební rozpočet'!J4</f>
        <v> </v>
      </c>
      <c r="G4" s="84"/>
      <c r="H4" s="83" t="s">
        <v>589</v>
      </c>
      <c r="I4" s="109" t="s">
        <v>56</v>
      </c>
    </row>
    <row r="5" spans="1:9" ht="1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589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591</v>
      </c>
      <c r="I8" s="166">
        <v>111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592</v>
      </c>
      <c r="I10" s="159" t="str">
        <f>'Stavební rozpočet'!H8</f>
        <v>29.08.2024</v>
      </c>
    </row>
    <row r="11" spans="1:9" ht="14.6" x14ac:dyDescent="0.4">
      <c r="A11" s="164"/>
      <c r="B11" s="122"/>
      <c r="C11" s="122"/>
      <c r="D11" s="122"/>
      <c r="E11" s="122"/>
      <c r="F11" s="122"/>
      <c r="G11" s="122"/>
      <c r="H11" s="122"/>
      <c r="I11" s="160"/>
    </row>
    <row r="12" spans="1:9" ht="22.75" x14ac:dyDescent="0.4">
      <c r="A12" s="161" t="s">
        <v>593</v>
      </c>
      <c r="B12" s="161"/>
      <c r="C12" s="161"/>
      <c r="D12" s="161"/>
      <c r="E12" s="161"/>
      <c r="F12" s="161"/>
      <c r="G12" s="161"/>
      <c r="H12" s="161"/>
      <c r="I12" s="161"/>
    </row>
    <row r="13" spans="1:9" ht="26.25" customHeight="1" x14ac:dyDescent="0.4">
      <c r="A13" s="60" t="s">
        <v>594</v>
      </c>
      <c r="B13" s="162" t="s">
        <v>595</v>
      </c>
      <c r="C13" s="163"/>
      <c r="D13" s="61" t="s">
        <v>596</v>
      </c>
      <c r="E13" s="162" t="s">
        <v>597</v>
      </c>
      <c r="F13" s="163"/>
      <c r="G13" s="61" t="s">
        <v>598</v>
      </c>
      <c r="H13" s="162" t="s">
        <v>599</v>
      </c>
      <c r="I13" s="163"/>
    </row>
    <row r="14" spans="1:9" ht="15.45" x14ac:dyDescent="0.4">
      <c r="A14" s="62" t="s">
        <v>600</v>
      </c>
      <c r="B14" s="63" t="s">
        <v>601</v>
      </c>
      <c r="C14" s="64">
        <f>SUM('Stavební rozpočet'!AB12:AB279)</f>
        <v>0</v>
      </c>
      <c r="D14" s="149" t="s">
        <v>602</v>
      </c>
      <c r="E14" s="150"/>
      <c r="F14" s="64">
        <f>VORN!I15</f>
        <v>0</v>
      </c>
      <c r="G14" s="149" t="s">
        <v>603</v>
      </c>
      <c r="H14" s="150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rozpočet'!AC12:AC279)</f>
        <v>0</v>
      </c>
      <c r="D15" s="149" t="s">
        <v>604</v>
      </c>
      <c r="E15" s="150"/>
      <c r="F15" s="64">
        <f>VORN!I16</f>
        <v>0</v>
      </c>
      <c r="G15" s="149" t="s">
        <v>605</v>
      </c>
      <c r="H15" s="150"/>
      <c r="I15" s="64">
        <f>VORN!I22</f>
        <v>0</v>
      </c>
    </row>
    <row r="16" spans="1:9" ht="15.45" x14ac:dyDescent="0.4">
      <c r="A16" s="62" t="s">
        <v>606</v>
      </c>
      <c r="B16" s="63" t="s">
        <v>601</v>
      </c>
      <c r="C16" s="64">
        <f>SUM('Stavební rozpočet'!AD12:AD279)</f>
        <v>0</v>
      </c>
      <c r="D16" s="149" t="s">
        <v>607</v>
      </c>
      <c r="E16" s="150"/>
      <c r="F16" s="64">
        <f>VORN!I17</f>
        <v>0</v>
      </c>
      <c r="G16" s="149" t="s">
        <v>608</v>
      </c>
      <c r="H16" s="150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rozpočet'!AE12:AE279)</f>
        <v>0</v>
      </c>
      <c r="D17" s="149" t="s">
        <v>56</v>
      </c>
      <c r="E17" s="150"/>
      <c r="F17" s="66" t="s">
        <v>56</v>
      </c>
      <c r="G17" s="149" t="s">
        <v>609</v>
      </c>
      <c r="H17" s="150"/>
      <c r="I17" s="64">
        <f>VORN!I24</f>
        <v>0</v>
      </c>
    </row>
    <row r="18" spans="1:9" ht="15.45" x14ac:dyDescent="0.4">
      <c r="A18" s="62" t="s">
        <v>610</v>
      </c>
      <c r="B18" s="63" t="s">
        <v>601</v>
      </c>
      <c r="C18" s="64">
        <f>SUM('Stavební rozpočet'!AF12:AF279)</f>
        <v>0</v>
      </c>
      <c r="D18" s="149" t="s">
        <v>56</v>
      </c>
      <c r="E18" s="150"/>
      <c r="F18" s="66" t="s">
        <v>56</v>
      </c>
      <c r="G18" s="149" t="s">
        <v>611</v>
      </c>
      <c r="H18" s="150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rozpočet'!AG12:AG279)</f>
        <v>0</v>
      </c>
      <c r="D19" s="149" t="s">
        <v>56</v>
      </c>
      <c r="E19" s="150"/>
      <c r="F19" s="66" t="s">
        <v>56</v>
      </c>
      <c r="G19" s="149" t="s">
        <v>612</v>
      </c>
      <c r="H19" s="150"/>
      <c r="I19" s="64">
        <f>VORN!I26</f>
        <v>0</v>
      </c>
    </row>
    <row r="20" spans="1:9" ht="15.45" x14ac:dyDescent="0.4">
      <c r="A20" s="141" t="s">
        <v>294</v>
      </c>
      <c r="B20" s="142"/>
      <c r="C20" s="64">
        <f>SUM('Stavební rozpočet'!AH12:AH279)</f>
        <v>0</v>
      </c>
      <c r="D20" s="149" t="s">
        <v>56</v>
      </c>
      <c r="E20" s="150"/>
      <c r="F20" s="66" t="s">
        <v>56</v>
      </c>
      <c r="G20" s="149" t="s">
        <v>56</v>
      </c>
      <c r="H20" s="150"/>
      <c r="I20" s="66" t="s">
        <v>56</v>
      </c>
    </row>
    <row r="21" spans="1:9" ht="15.45" x14ac:dyDescent="0.4">
      <c r="A21" s="156" t="s">
        <v>613</v>
      </c>
      <c r="B21" s="157"/>
      <c r="C21" s="67">
        <f>SUM('Stavební rozpočet'!Z12:Z279)</f>
        <v>0</v>
      </c>
      <c r="D21" s="151" t="s">
        <v>56</v>
      </c>
      <c r="E21" s="152"/>
      <c r="F21" s="68" t="s">
        <v>56</v>
      </c>
      <c r="G21" s="151" t="s">
        <v>56</v>
      </c>
      <c r="H21" s="152"/>
      <c r="I21" s="68" t="s">
        <v>56</v>
      </c>
    </row>
    <row r="22" spans="1:9" ht="16.5" customHeight="1" x14ac:dyDescent="0.4">
      <c r="A22" s="158" t="s">
        <v>614</v>
      </c>
      <c r="B22" s="154"/>
      <c r="C22" s="69">
        <f>SUM(C14:C21)</f>
        <v>0</v>
      </c>
      <c r="D22" s="153" t="s">
        <v>615</v>
      </c>
      <c r="E22" s="154"/>
      <c r="F22" s="69">
        <f>SUM(F14:F21)</f>
        <v>0</v>
      </c>
      <c r="G22" s="153" t="s">
        <v>616</v>
      </c>
      <c r="H22" s="154"/>
      <c r="I22" s="69">
        <f>SUM(I14:I21)</f>
        <v>0</v>
      </c>
    </row>
    <row r="23" spans="1:9" ht="15.45" x14ac:dyDescent="0.4">
      <c r="D23" s="141" t="s">
        <v>617</v>
      </c>
      <c r="E23" s="142"/>
      <c r="F23" s="70">
        <v>0</v>
      </c>
      <c r="G23" s="155" t="s">
        <v>618</v>
      </c>
      <c r="H23" s="142"/>
      <c r="I23" s="64">
        <v>0</v>
      </c>
    </row>
    <row r="24" spans="1:9" ht="15.45" x14ac:dyDescent="0.4">
      <c r="G24" s="141" t="s">
        <v>619</v>
      </c>
      <c r="H24" s="142"/>
      <c r="I24" s="64">
        <f>vorn_sum</f>
        <v>0</v>
      </c>
    </row>
    <row r="25" spans="1:9" ht="15.45" x14ac:dyDescent="0.4">
      <c r="G25" s="141" t="s">
        <v>620</v>
      </c>
      <c r="H25" s="142"/>
      <c r="I25" s="64">
        <v>0</v>
      </c>
    </row>
    <row r="27" spans="1:9" ht="15.45" x14ac:dyDescent="0.4">
      <c r="A27" s="143" t="s">
        <v>621</v>
      </c>
      <c r="B27" s="144"/>
      <c r="C27" s="71">
        <f>SUM('Stavební rozpočet'!AJ12:AJ279)</f>
        <v>0</v>
      </c>
    </row>
    <row r="28" spans="1:9" ht="15.45" x14ac:dyDescent="0.4">
      <c r="A28" s="145" t="s">
        <v>622</v>
      </c>
      <c r="B28" s="146"/>
      <c r="C28" s="72">
        <f>SUM('Stavební rozpočet'!AK12:AK279)</f>
        <v>0</v>
      </c>
      <c r="D28" s="147" t="s">
        <v>623</v>
      </c>
      <c r="E28" s="144"/>
      <c r="F28" s="71">
        <f>ROUND(C28*(12/100),2)</f>
        <v>0</v>
      </c>
      <c r="G28" s="147" t="s">
        <v>624</v>
      </c>
      <c r="H28" s="144"/>
      <c r="I28" s="71">
        <f>SUM(C27:C29)</f>
        <v>0</v>
      </c>
    </row>
    <row r="29" spans="1:9" ht="15.45" x14ac:dyDescent="0.4">
      <c r="A29" s="145" t="s">
        <v>625</v>
      </c>
      <c r="B29" s="146"/>
      <c r="C29" s="72">
        <f>SUM('Stavební rozpočet'!AL12:AL279)+(F22+I22+F23+I23+I24+I25)</f>
        <v>0</v>
      </c>
      <c r="D29" s="148" t="s">
        <v>626</v>
      </c>
      <c r="E29" s="146"/>
      <c r="F29" s="72">
        <f>ROUND(C29*(21/100),2)</f>
        <v>0</v>
      </c>
      <c r="G29" s="148" t="s">
        <v>627</v>
      </c>
      <c r="H29" s="146"/>
      <c r="I29" s="72">
        <f>SUM(F28:F29)+I28</f>
        <v>0</v>
      </c>
    </row>
    <row r="31" spans="1:9" x14ac:dyDescent="0.4">
      <c r="A31" s="138" t="s">
        <v>628</v>
      </c>
      <c r="B31" s="130"/>
      <c r="C31" s="131"/>
      <c r="D31" s="129" t="s">
        <v>629</v>
      </c>
      <c r="E31" s="130"/>
      <c r="F31" s="131"/>
      <c r="G31" s="129" t="s">
        <v>630</v>
      </c>
      <c r="H31" s="130"/>
      <c r="I31" s="131"/>
    </row>
    <row r="32" spans="1:9" x14ac:dyDescent="0.4">
      <c r="A32" s="139" t="s">
        <v>56</v>
      </c>
      <c r="B32" s="133"/>
      <c r="C32" s="134"/>
      <c r="D32" s="132" t="s">
        <v>56</v>
      </c>
      <c r="E32" s="133"/>
      <c r="F32" s="134"/>
      <c r="G32" s="132" t="s">
        <v>56</v>
      </c>
      <c r="H32" s="133"/>
      <c r="I32" s="134"/>
    </row>
    <row r="33" spans="1:9" x14ac:dyDescent="0.4">
      <c r="A33" s="139" t="s">
        <v>56</v>
      </c>
      <c r="B33" s="133"/>
      <c r="C33" s="134"/>
      <c r="D33" s="132" t="s">
        <v>56</v>
      </c>
      <c r="E33" s="133"/>
      <c r="F33" s="134"/>
      <c r="G33" s="132" t="s">
        <v>56</v>
      </c>
      <c r="H33" s="133"/>
      <c r="I33" s="134"/>
    </row>
    <row r="34" spans="1:9" x14ac:dyDescent="0.4">
      <c r="A34" s="139" t="s">
        <v>56</v>
      </c>
      <c r="B34" s="133"/>
      <c r="C34" s="134"/>
      <c r="D34" s="132" t="s">
        <v>56</v>
      </c>
      <c r="E34" s="133"/>
      <c r="F34" s="134"/>
      <c r="G34" s="132" t="s">
        <v>56</v>
      </c>
      <c r="H34" s="133"/>
      <c r="I34" s="134"/>
    </row>
    <row r="35" spans="1:9" x14ac:dyDescent="0.4">
      <c r="A35" s="140" t="s">
        <v>631</v>
      </c>
      <c r="B35" s="136"/>
      <c r="C35" s="137"/>
      <c r="D35" s="135" t="s">
        <v>631</v>
      </c>
      <c r="E35" s="136"/>
      <c r="F35" s="137"/>
      <c r="G35" s="135" t="s">
        <v>631</v>
      </c>
      <c r="H35" s="136"/>
      <c r="I35" s="137"/>
    </row>
    <row r="36" spans="1:9" ht="14.6" x14ac:dyDescent="0.4">
      <c r="A36" s="73" t="s">
        <v>165</v>
      </c>
    </row>
    <row r="37" spans="1:9" ht="13.5" customHeight="1" x14ac:dyDescent="0.4">
      <c r="A37" s="83" t="s">
        <v>632</v>
      </c>
      <c r="B37" s="84"/>
      <c r="C37" s="84"/>
      <c r="D37" s="84"/>
      <c r="E37" s="84"/>
      <c r="F37" s="84"/>
      <c r="G37" s="84"/>
      <c r="H37" s="84"/>
      <c r="I37" s="84"/>
    </row>
  </sheetData>
  <sheetProtection algorithmName="SHA-512" hashValue="B4LR4sb4HxF8Qx7sPeNdaS0BH8WDTDnW3tdxgLXfjuOXbTM3++89WvKuma07i4bnxWh3doZCsrIlau+jIEcS9g==" saltValue="Yo89ejUQLgbNCtUUNzfKH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65" t="s">
        <v>531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589</v>
      </c>
      <c r="I2" s="108" t="s">
        <v>590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113.1 - Rekonstr. parkoviště před byt. domy U Hřbitova 30-34 + SO 402_VO</v>
      </c>
      <c r="D4" s="84"/>
      <c r="E4" s="83" t="s">
        <v>10</v>
      </c>
      <c r="F4" s="83" t="str">
        <f>'Stavební rozpočet'!J4</f>
        <v> </v>
      </c>
      <c r="G4" s="84"/>
      <c r="H4" s="83" t="s">
        <v>589</v>
      </c>
      <c r="I4" s="109" t="s">
        <v>56</v>
      </c>
    </row>
    <row r="5" spans="1:9" ht="25.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589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591</v>
      </c>
      <c r="I8" s="166">
        <v>111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592</v>
      </c>
      <c r="I10" s="159" t="str">
        <f>'Stavební rozpočet'!H8</f>
        <v>29.08.2024</v>
      </c>
    </row>
    <row r="11" spans="1:9" ht="14.6" x14ac:dyDescent="0.4">
      <c r="A11" s="164"/>
      <c r="B11" s="122"/>
      <c r="C11" s="122"/>
      <c r="D11" s="122"/>
      <c r="E11" s="122"/>
      <c r="F11" s="122"/>
      <c r="G11" s="122"/>
      <c r="H11" s="122"/>
      <c r="I11" s="160"/>
    </row>
    <row r="13" spans="1:9" ht="15.45" x14ac:dyDescent="0.4">
      <c r="A13" s="176" t="s">
        <v>633</v>
      </c>
      <c r="B13" s="176"/>
      <c r="C13" s="176"/>
      <c r="D13" s="176"/>
      <c r="E13" s="176"/>
    </row>
    <row r="14" spans="1:9" ht="14.6" x14ac:dyDescent="0.4">
      <c r="A14" s="177" t="s">
        <v>634</v>
      </c>
      <c r="B14" s="178"/>
      <c r="C14" s="178"/>
      <c r="D14" s="178"/>
      <c r="E14" s="179"/>
      <c r="F14" s="74" t="s">
        <v>635</v>
      </c>
      <c r="G14" s="74" t="s">
        <v>636</v>
      </c>
      <c r="H14" s="74" t="s">
        <v>637</v>
      </c>
      <c r="I14" s="74" t="s">
        <v>635</v>
      </c>
    </row>
    <row r="15" spans="1:9" ht="14.6" x14ac:dyDescent="0.4">
      <c r="A15" s="183" t="s">
        <v>602</v>
      </c>
      <c r="B15" s="184"/>
      <c r="C15" s="184"/>
      <c r="D15" s="184"/>
      <c r="E15" s="185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83" t="s">
        <v>604</v>
      </c>
      <c r="B16" s="184"/>
      <c r="C16" s="184"/>
      <c r="D16" s="184"/>
      <c r="E16" s="185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80" t="s">
        <v>607</v>
      </c>
      <c r="B17" s="181"/>
      <c r="C17" s="181"/>
      <c r="D17" s="181"/>
      <c r="E17" s="182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67" t="s">
        <v>638</v>
      </c>
      <c r="B18" s="168"/>
      <c r="C18" s="168"/>
      <c r="D18" s="168"/>
      <c r="E18" s="169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77" t="s">
        <v>599</v>
      </c>
      <c r="B20" s="178"/>
      <c r="C20" s="178"/>
      <c r="D20" s="178"/>
      <c r="E20" s="179"/>
      <c r="F20" s="74" t="s">
        <v>635</v>
      </c>
      <c r="G20" s="74" t="s">
        <v>636</v>
      </c>
      <c r="H20" s="74" t="s">
        <v>637</v>
      </c>
      <c r="I20" s="74" t="s">
        <v>635</v>
      </c>
    </row>
    <row r="21" spans="1:9" ht="14.6" x14ac:dyDescent="0.4">
      <c r="A21" s="183" t="s">
        <v>603</v>
      </c>
      <c r="B21" s="184"/>
      <c r="C21" s="184"/>
      <c r="D21" s="184"/>
      <c r="E21" s="185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83" t="s">
        <v>605</v>
      </c>
      <c r="B22" s="184"/>
      <c r="C22" s="184"/>
      <c r="D22" s="184"/>
      <c r="E22" s="185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83" t="s">
        <v>608</v>
      </c>
      <c r="B23" s="184"/>
      <c r="C23" s="184"/>
      <c r="D23" s="184"/>
      <c r="E23" s="185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83" t="s">
        <v>609</v>
      </c>
      <c r="B24" s="184"/>
      <c r="C24" s="184"/>
      <c r="D24" s="184"/>
      <c r="E24" s="185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83" t="s">
        <v>611</v>
      </c>
      <c r="B25" s="184"/>
      <c r="C25" s="184"/>
      <c r="D25" s="184"/>
      <c r="E25" s="185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80" t="s">
        <v>612</v>
      </c>
      <c r="B26" s="181"/>
      <c r="C26" s="181"/>
      <c r="D26" s="181"/>
      <c r="E26" s="182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67" t="s">
        <v>639</v>
      </c>
      <c r="B27" s="168"/>
      <c r="C27" s="168"/>
      <c r="D27" s="168"/>
      <c r="E27" s="169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0" t="s">
        <v>640</v>
      </c>
      <c r="B29" s="171"/>
      <c r="C29" s="171"/>
      <c r="D29" s="171"/>
      <c r="E29" s="172"/>
      <c r="F29" s="173">
        <f>I18+I27</f>
        <v>0</v>
      </c>
      <c r="G29" s="174"/>
      <c r="H29" s="174"/>
      <c r="I29" s="175"/>
    </row>
    <row r="33" spans="1:9" ht="15.45" x14ac:dyDescent="0.4">
      <c r="A33" s="176" t="s">
        <v>641</v>
      </c>
      <c r="B33" s="176"/>
      <c r="C33" s="176"/>
      <c r="D33" s="176"/>
      <c r="E33" s="176"/>
    </row>
    <row r="34" spans="1:9" ht="14.6" x14ac:dyDescent="0.4">
      <c r="A34" s="177" t="s">
        <v>642</v>
      </c>
      <c r="B34" s="178"/>
      <c r="C34" s="178"/>
      <c r="D34" s="178"/>
      <c r="E34" s="179"/>
      <c r="F34" s="74" t="s">
        <v>635</v>
      </c>
      <c r="G34" s="74" t="s">
        <v>636</v>
      </c>
      <c r="H34" s="74" t="s">
        <v>637</v>
      </c>
      <c r="I34" s="74" t="s">
        <v>635</v>
      </c>
    </row>
    <row r="35" spans="1:9" ht="14.6" x14ac:dyDescent="0.4">
      <c r="A35" s="180" t="s">
        <v>56</v>
      </c>
      <c r="B35" s="181"/>
      <c r="C35" s="181"/>
      <c r="D35" s="181"/>
      <c r="E35" s="182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67" t="s">
        <v>643</v>
      </c>
      <c r="B36" s="168"/>
      <c r="C36" s="168"/>
      <c r="D36" s="168"/>
      <c r="E36" s="169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2025-01-08T16:24:55Z</dcterms:modified>
</cp:coreProperties>
</file>